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20" yWindow="6015" windowWidth="19320" windowHeight="6105" activeTab="0"/>
  </bookViews>
  <sheets>
    <sheet name="Hackgut" sheetId="1" r:id="rId1"/>
    <sheet name="Pellets" sheetId="2" r:id="rId2"/>
  </sheets>
  <definedNames>
    <definedName name="_xlnm.Print_Area" localSheetId="0">'Hackgut'!$A$1:$K$67</definedName>
    <definedName name="_xlnm.Print_Area" localSheetId="1">'Pellets'!$A$1:$K$61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1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<sst xmlns="http://schemas.openxmlformats.org/spreadsheetml/2006/main" count="273" uniqueCount="134">
  <si>
    <t>Pellets</t>
  </si>
  <si>
    <t>Pappel</t>
  </si>
  <si>
    <t>Fichte</t>
  </si>
  <si>
    <t>Buche</t>
  </si>
  <si>
    <t>Eiche</t>
  </si>
  <si>
    <t>Feuchte u (%)</t>
  </si>
  <si>
    <t>Wassergehalt w (% der wasserhaltigen Masse)</t>
  </si>
  <si>
    <t>bei 1 t TM        (kg Wasser)</t>
  </si>
  <si>
    <t>Summe TM+Wasser  (kg)</t>
  </si>
  <si>
    <t>TM bei 1 t roh (kg)</t>
  </si>
  <si>
    <t>Wasser bei 1 t roh (kg)</t>
  </si>
  <si>
    <t>Hu der TM (GJ)</t>
  </si>
  <si>
    <t>Hu von 1 t roh (GJ/t roh)</t>
  </si>
  <si>
    <t>Hu von 1 t roh (MWh/t roh)</t>
  </si>
  <si>
    <t>kg/Rm</t>
  </si>
  <si>
    <t>kg/Fm</t>
  </si>
  <si>
    <t>kg/Sm³</t>
  </si>
  <si>
    <t>Hu MWh/Sm³</t>
  </si>
  <si>
    <t>Brennstoff</t>
  </si>
  <si>
    <t>Kesseltypen</t>
  </si>
  <si>
    <t>firematic 20 BioControl</t>
  </si>
  <si>
    <t>pelletstar 10 BioControl</t>
  </si>
  <si>
    <t>pelletstar 20 BioControl</t>
  </si>
  <si>
    <t>pelletstar 30 BioControl</t>
  </si>
  <si>
    <t>pelletstar 45 BioControl</t>
  </si>
  <si>
    <t>pelletstar 60 BioControl</t>
  </si>
  <si>
    <t>firematic 35 BioControl</t>
  </si>
  <si>
    <t>firematic 45 BioControl</t>
  </si>
  <si>
    <t>firematic 60 BioControl</t>
  </si>
  <si>
    <t>firematic 80 BioControl</t>
  </si>
  <si>
    <t>firematic 100 BioControl</t>
  </si>
  <si>
    <t>firematic 130 BioControl</t>
  </si>
  <si>
    <t>firematic 151 BioControl</t>
  </si>
  <si>
    <t>BioMatic 220 BioControl</t>
  </si>
  <si>
    <t>BioMatic 250 BioControl</t>
  </si>
  <si>
    <t>BioMatic 300 BioControl</t>
  </si>
  <si>
    <t>BioMatic 350 BioControl</t>
  </si>
  <si>
    <t>BioMatic 400 BioControl</t>
  </si>
  <si>
    <t>BioMatic 500 BioControl</t>
  </si>
  <si>
    <t>BioFire 500 BioControl</t>
  </si>
  <si>
    <t>BioFire 600 BioControl</t>
  </si>
  <si>
    <t>BioFire 800 BioControl</t>
  </si>
  <si>
    <t>BioFire 1000 BioControl</t>
  </si>
  <si>
    <t>Leistung</t>
  </si>
  <si>
    <t>kW</t>
  </si>
  <si>
    <t>°C</t>
  </si>
  <si>
    <t>kWh/kg</t>
  </si>
  <si>
    <t>wassergehalt</t>
  </si>
  <si>
    <t>feuchte</t>
  </si>
  <si>
    <t>tm bei 1t roh</t>
  </si>
  <si>
    <t>wasser bei 1t</t>
  </si>
  <si>
    <t>Hu der TM</t>
  </si>
  <si>
    <t>Hu von 1t roh</t>
  </si>
  <si>
    <t>HU von 1 t roh</t>
  </si>
  <si>
    <t>Weiden</t>
  </si>
  <si>
    <t>Hu in [MJ/kg]</t>
  </si>
  <si>
    <t>Ascheanteil  wf</t>
  </si>
  <si>
    <t>Ascheerweichungspunkt [°C]</t>
  </si>
  <si>
    <t>%</t>
  </si>
  <si>
    <t xml:space="preserve">MJ/kg                  -        </t>
  </si>
  <si>
    <t>FICHTE</t>
  </si>
  <si>
    <t>kg/FM</t>
  </si>
  <si>
    <t>Pellets ÖNORM M7135</t>
  </si>
  <si>
    <t>Pellets EN Plus A1</t>
  </si>
  <si>
    <t>Pellets EN Plus A2</t>
  </si>
  <si>
    <t>Pellets DIN Plus</t>
  </si>
  <si>
    <t>Wassergehalt %</t>
  </si>
  <si>
    <t>kg/m³</t>
  </si>
  <si>
    <t xml:space="preserve">                                 © HERZ Energietechnik GmbH 2011</t>
  </si>
  <si>
    <t>ANKA</t>
  </si>
  <si>
    <t>~</t>
  </si>
  <si>
    <t>m³</t>
  </si>
  <si>
    <t>kg</t>
  </si>
  <si>
    <t>kw</t>
  </si>
  <si>
    <t>Nutzbarer Rauminhalt</t>
  </si>
  <si>
    <t>Kohle [kg]</t>
  </si>
  <si>
    <r>
      <t>H</t>
    </r>
    <r>
      <rPr>
        <vertAlign val="subscript"/>
        <sz val="11"/>
        <color indexed="8"/>
        <rFont val="Calibri"/>
        <family val="2"/>
      </rPr>
      <t>u</t>
    </r>
    <r>
      <rPr>
        <sz val="11"/>
        <color indexed="8"/>
        <rFont val="Calibri"/>
        <family val="2"/>
      </rPr>
      <t>= 10 kWh/kg</t>
    </r>
  </si>
  <si>
    <r>
      <t>H</t>
    </r>
    <r>
      <rPr>
        <vertAlign val="subscript"/>
        <sz val="11"/>
        <color indexed="8"/>
        <rFont val="Calibri"/>
        <family val="2"/>
      </rPr>
      <t>u</t>
    </r>
    <r>
      <rPr>
        <sz val="11"/>
        <color indexed="8"/>
        <rFont val="Calibri"/>
        <family val="2"/>
      </rPr>
      <t>= 9,5 kWh/kg</t>
    </r>
  </si>
  <si>
    <r>
      <t>H</t>
    </r>
    <r>
      <rPr>
        <vertAlign val="subscript"/>
        <sz val="11"/>
        <color indexed="8"/>
        <rFont val="Calibri"/>
        <family val="2"/>
      </rPr>
      <t>u</t>
    </r>
    <r>
      <rPr>
        <sz val="11"/>
        <color indexed="8"/>
        <rFont val="Calibri"/>
        <family val="2"/>
      </rPr>
      <t>= 12,8 kWh/kg</t>
    </r>
  </si>
  <si>
    <r>
      <t>H</t>
    </r>
    <r>
      <rPr>
        <vertAlign val="subscript"/>
        <sz val="11"/>
        <color indexed="9"/>
        <rFont val="Calibri"/>
        <family val="2"/>
      </rPr>
      <t>u</t>
    </r>
    <r>
      <rPr>
        <sz val="11"/>
        <color indexed="9"/>
        <rFont val="Calibri"/>
        <family val="2"/>
      </rPr>
      <t>= 7 kWh/kg</t>
    </r>
  </si>
  <si>
    <t>≥90</t>
  </si>
  <si>
    <t>Boiler type:</t>
  </si>
  <si>
    <t>chosse boiler</t>
  </si>
  <si>
    <t>choose biomass</t>
  </si>
  <si>
    <t>*water free</t>
  </si>
  <si>
    <t>wood chips G30/G50 W35 according to ÖNORM M7133</t>
  </si>
  <si>
    <t>Boiler Output in [kW]</t>
  </si>
  <si>
    <t>Boiler Output in [%]</t>
  </si>
  <si>
    <t>Nominal load:</t>
  </si>
  <si>
    <t>Biomass type:</t>
  </si>
  <si>
    <t>Bulk desnity:</t>
  </si>
  <si>
    <t>Heat value Hu *:</t>
  </si>
  <si>
    <t>Ash softening point:</t>
  </si>
  <si>
    <t>Ash content  * :</t>
  </si>
  <si>
    <t>Water content in [%]</t>
  </si>
  <si>
    <t>Moisture content in [%]</t>
  </si>
  <si>
    <t>Heat value              Hu in [kWh/kg]</t>
  </si>
  <si>
    <t>Density of energy in [kWh/Srm]</t>
  </si>
  <si>
    <t xml:space="preserve">Fuel consumption in [kg/h] </t>
  </si>
  <si>
    <t>Efficieny ηf in [%]</t>
  </si>
  <si>
    <t>Ash content in [kg/h]</t>
  </si>
  <si>
    <t>Biomass type**:</t>
  </si>
  <si>
    <t>Water content</t>
  </si>
  <si>
    <t>Heat value Hu:</t>
  </si>
  <si>
    <t>Density:</t>
  </si>
  <si>
    <t>Ash content:</t>
  </si>
  <si>
    <t>** for  pelletstar and suction system only Pellets with Ø6mm diameter acceptable</t>
  </si>
  <si>
    <t>Heat Load</t>
  </si>
  <si>
    <t>discharge system</t>
  </si>
  <si>
    <t>Amount of pellets</t>
  </si>
  <si>
    <t>Energy in storage</t>
  </si>
  <si>
    <t>Storage area net</t>
  </si>
  <si>
    <t>Required storage size</t>
  </si>
  <si>
    <t>Gross storage volume (available)</t>
  </si>
  <si>
    <t xml:space="preserve">Amount of energy equivalent to approximately:
</t>
  </si>
  <si>
    <t>[l] Heating Oil</t>
  </si>
  <si>
    <t>[m³] Natural Gas</t>
  </si>
  <si>
    <t>[m³] LPG</t>
  </si>
  <si>
    <t>Write in yellow fields values​​!</t>
  </si>
  <si>
    <t>Technical details are subject to change.</t>
  </si>
  <si>
    <t xml:space="preserve">The above calculations are based on the mentioned standards and relevant experience with HERZ biomass plants. The calculated values ​​may be more or less different and are related to biomass quality, bark content etc.
</t>
  </si>
  <si>
    <t>Spruce</t>
  </si>
  <si>
    <t>Beech</t>
  </si>
  <si>
    <t>Poplar</t>
  </si>
  <si>
    <t>Wicker</t>
  </si>
  <si>
    <t>Horizontal spring agitator</t>
  </si>
  <si>
    <t>Transversal spring agitator</t>
  </si>
  <si>
    <t>Flexible auger system</t>
  </si>
  <si>
    <t>70% flexible auger system</t>
  </si>
  <si>
    <t>85% Transversal spring agitator</t>
  </si>
  <si>
    <t>90% Horizontal spring agitator</t>
  </si>
  <si>
    <t>Thumb rule -&gt; pro 1kW heat load = 0,9m³ storage room (incl. dead zones)</t>
  </si>
  <si>
    <t>Live Storage</t>
  </si>
  <si>
    <t>Design your pellet storage room!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</si>
</sst>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0.0000000"/>
    <numFmt numFmtId="170" formatCode="0.00000000"/>
    <numFmt numFmtId="171" formatCode="0.0000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vertAlign val="subscript"/>
      <sz val="11"/>
      <color indexed="8"/>
      <name val="Calibri"/>
      <family val="2"/>
    </font>
    <font>
      <vertAlign val="subscript"/>
      <sz val="11"/>
      <color indexed="9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9"/>
      <name val="Calibri"/>
      <family val="2"/>
    </font>
    <font>
      <b/>
      <sz val="12"/>
      <color indexed="10"/>
      <name val="Calibri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i/>
      <sz val="12"/>
      <color indexed="8"/>
      <name val="Calibri"/>
      <family val="2"/>
    </font>
    <font>
      <sz val="5"/>
      <color indexed="8"/>
      <name val="Calibri"/>
      <family val="2"/>
    </font>
    <font>
      <b/>
      <sz val="12"/>
      <color indexed="57"/>
      <name val="Calibri"/>
      <family val="2"/>
    </font>
    <font>
      <b/>
      <sz val="14"/>
      <color indexed="57"/>
      <name val="Calibri"/>
      <family val="2"/>
    </font>
    <font>
      <i/>
      <sz val="10"/>
      <color indexed="8"/>
      <name val="Calibri"/>
      <family val="2"/>
    </font>
    <font>
      <sz val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i/>
      <sz val="9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221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7" fillId="33" borderId="10" xfId="0" applyFont="1" applyFill="1" applyBorder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 horizontal="right"/>
      <protection/>
    </xf>
    <xf numFmtId="0" fontId="7" fillId="33" borderId="11" xfId="0" applyFont="1" applyFill="1" applyBorder="1" applyAlignment="1" applyProtection="1">
      <alignment/>
      <protection/>
    </xf>
    <xf numFmtId="0" fontId="8" fillId="33" borderId="11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17" fillId="33" borderId="11" xfId="0" applyFont="1" applyFill="1" applyBorder="1" applyAlignment="1" applyProtection="1">
      <alignment/>
      <protection/>
    </xf>
    <xf numFmtId="2" fontId="8" fillId="33" borderId="0" xfId="0" applyNumberFormat="1" applyFont="1" applyFill="1" applyAlignment="1" applyProtection="1">
      <alignment/>
      <protection/>
    </xf>
    <xf numFmtId="0" fontId="8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 horizontal="center"/>
      <protection/>
    </xf>
    <xf numFmtId="1" fontId="0" fillId="33" borderId="13" xfId="0" applyNumberFormat="1" applyFill="1" applyBorder="1" applyAlignment="1" applyProtection="1">
      <alignment horizontal="center"/>
      <protection/>
    </xf>
    <xf numFmtId="2" fontId="0" fillId="33" borderId="13" xfId="0" applyNumberFormat="1" applyFont="1" applyFill="1" applyBorder="1" applyAlignment="1" applyProtection="1">
      <alignment horizontal="center"/>
      <protection/>
    </xf>
    <xf numFmtId="2" fontId="0" fillId="33" borderId="13" xfId="0" applyNumberFormat="1" applyFill="1" applyBorder="1" applyAlignment="1" applyProtection="1">
      <alignment horizontal="center"/>
      <protection/>
    </xf>
    <xf numFmtId="2" fontId="0" fillId="33" borderId="14" xfId="0" applyNumberFormat="1" applyFont="1" applyFill="1" applyBorder="1" applyAlignment="1" applyProtection="1">
      <alignment horizontal="center"/>
      <protection/>
    </xf>
    <xf numFmtId="2" fontId="0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left"/>
      <protection/>
    </xf>
    <xf numFmtId="1" fontId="0" fillId="33" borderId="0" xfId="0" applyNumberFormat="1" applyFont="1" applyFill="1" applyBorder="1" applyAlignment="1" applyProtection="1">
      <alignment horizontal="left"/>
      <protection/>
    </xf>
    <xf numFmtId="166" fontId="0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1" fontId="0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/>
      <protection/>
    </xf>
    <xf numFmtId="1" fontId="0" fillId="33" borderId="15" xfId="0" applyNumberFormat="1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center"/>
      <protection/>
    </xf>
    <xf numFmtId="2" fontId="0" fillId="33" borderId="15" xfId="0" applyNumberFormat="1" applyFont="1" applyFill="1" applyBorder="1" applyAlignment="1" applyProtection="1">
      <alignment horizontal="center"/>
      <protection/>
    </xf>
    <xf numFmtId="1" fontId="0" fillId="33" borderId="16" xfId="0" applyNumberFormat="1" applyFill="1" applyBorder="1" applyAlignment="1" applyProtection="1">
      <alignment horizontal="center"/>
      <protection/>
    </xf>
    <xf numFmtId="0" fontId="0" fillId="33" borderId="16" xfId="0" applyFill="1" applyBorder="1" applyAlignment="1" applyProtection="1">
      <alignment horizontal="center"/>
      <protection/>
    </xf>
    <xf numFmtId="2" fontId="0" fillId="33" borderId="16" xfId="0" applyNumberFormat="1" applyFont="1" applyFill="1" applyBorder="1" applyAlignment="1" applyProtection="1">
      <alignment horizontal="center"/>
      <protection/>
    </xf>
    <xf numFmtId="2" fontId="0" fillId="33" borderId="16" xfId="0" applyNumberFormat="1" applyFill="1" applyBorder="1" applyAlignment="1" applyProtection="1">
      <alignment horizontal="center"/>
      <protection/>
    </xf>
    <xf numFmtId="2" fontId="0" fillId="33" borderId="15" xfId="0" applyNumberFormat="1" applyFill="1" applyBorder="1" applyAlignment="1" applyProtection="1">
      <alignment horizontal="center"/>
      <protection/>
    </xf>
    <xf numFmtId="2" fontId="0" fillId="33" borderId="0" xfId="0" applyNumberFormat="1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 horizontal="center"/>
      <protection/>
    </xf>
    <xf numFmtId="0" fontId="18" fillId="33" borderId="0" xfId="0" applyFont="1" applyFill="1" applyAlignment="1" applyProtection="1">
      <alignment horizontal="right" vertical="top"/>
      <protection/>
    </xf>
    <xf numFmtId="0" fontId="8" fillId="34" borderId="11" xfId="0" applyFont="1" applyFill="1" applyBorder="1" applyAlignment="1" applyProtection="1">
      <alignment horizontal="right"/>
      <protection locked="0"/>
    </xf>
    <xf numFmtId="0" fontId="17" fillId="33" borderId="11" xfId="0" applyFont="1" applyFill="1" applyBorder="1" applyAlignment="1" applyProtection="1">
      <alignment horizontal="right"/>
      <protection/>
    </xf>
    <xf numFmtId="0" fontId="10" fillId="35" borderId="17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0" fillId="33" borderId="0" xfId="0" applyNumberFormat="1" applyFill="1" applyBorder="1" applyAlignment="1" applyProtection="1">
      <alignment horizontal="center"/>
      <protection/>
    </xf>
    <xf numFmtId="0" fontId="9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horizontal="center"/>
      <protection/>
    </xf>
    <xf numFmtId="2" fontId="0" fillId="33" borderId="0" xfId="0" applyNumberFormat="1" applyFill="1" applyBorder="1" applyAlignment="1" applyProtection="1">
      <alignment horizontal="center"/>
      <protection/>
    </xf>
    <xf numFmtId="2" fontId="0" fillId="33" borderId="12" xfId="0" applyNumberFormat="1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center"/>
      <protection/>
    </xf>
    <xf numFmtId="0" fontId="2" fillId="33" borderId="0" xfId="0" applyFont="1" applyFill="1" applyBorder="1" applyAlignment="1" applyProtection="1">
      <alignment/>
      <protection/>
    </xf>
    <xf numFmtId="0" fontId="11" fillId="33" borderId="0" xfId="0" applyFont="1" applyFill="1" applyBorder="1" applyAlignment="1" applyProtection="1">
      <alignment/>
      <protection/>
    </xf>
    <xf numFmtId="0" fontId="10" fillId="33" borderId="11" xfId="0" applyFont="1" applyFill="1" applyBorder="1" applyAlignment="1" applyProtection="1">
      <alignment horizontal="right" vertical="center"/>
      <protection/>
    </xf>
    <xf numFmtId="0" fontId="10" fillId="33" borderId="11" xfId="0" applyFont="1" applyFill="1" applyBorder="1" applyAlignment="1" applyProtection="1">
      <alignment horizontal="left"/>
      <protection/>
    </xf>
    <xf numFmtId="1" fontId="10" fillId="33" borderId="11" xfId="0" applyNumberFormat="1" applyFont="1" applyFill="1" applyBorder="1" applyAlignment="1" applyProtection="1">
      <alignment horizontal="center"/>
      <protection/>
    </xf>
    <xf numFmtId="2" fontId="10" fillId="33" borderId="18" xfId="0" applyNumberFormat="1" applyFont="1" applyFill="1" applyBorder="1" applyAlignment="1" applyProtection="1">
      <alignment horizontal="center"/>
      <protection/>
    </xf>
    <xf numFmtId="0" fontId="10" fillId="33" borderId="0" xfId="0" applyFont="1" applyFill="1" applyBorder="1" applyAlignment="1" applyProtection="1">
      <alignment horizontal="right" vertical="center"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10" fillId="33" borderId="0" xfId="0" applyNumberFormat="1" applyFont="1" applyFill="1" applyBorder="1" applyAlignment="1" applyProtection="1">
      <alignment horizontal="center"/>
      <protection/>
    </xf>
    <xf numFmtId="2" fontId="10" fillId="33" borderId="19" xfId="0" applyNumberFormat="1" applyFont="1" applyFill="1" applyBorder="1" applyAlignment="1" applyProtection="1">
      <alignment horizontal="center"/>
      <protection/>
    </xf>
    <xf numFmtId="0" fontId="10" fillId="33" borderId="10" xfId="0" applyFont="1" applyFill="1" applyBorder="1" applyAlignment="1" applyProtection="1">
      <alignment horizontal="right" vertical="center"/>
      <protection/>
    </xf>
    <xf numFmtId="0" fontId="10" fillId="33" borderId="10" xfId="0" applyFont="1" applyFill="1" applyBorder="1" applyAlignment="1" applyProtection="1">
      <alignment horizontal="left"/>
      <protection/>
    </xf>
    <xf numFmtId="1" fontId="10" fillId="33" borderId="10" xfId="0" applyNumberFormat="1" applyFont="1" applyFill="1" applyBorder="1" applyAlignment="1" applyProtection="1">
      <alignment horizontal="center"/>
      <protection/>
    </xf>
    <xf numFmtId="2" fontId="10" fillId="33" borderId="20" xfId="0" applyNumberFormat="1" applyFont="1" applyFill="1" applyBorder="1" applyAlignment="1" applyProtection="1">
      <alignment horizontal="center"/>
      <protection/>
    </xf>
    <xf numFmtId="1" fontId="20" fillId="33" borderId="0" xfId="0" applyNumberFormat="1" applyFont="1" applyFill="1" applyBorder="1" applyAlignment="1" applyProtection="1">
      <alignment horizontal="left"/>
      <protection/>
    </xf>
    <xf numFmtId="0" fontId="19" fillId="33" borderId="0" xfId="0" applyFont="1" applyFill="1" applyBorder="1" applyAlignment="1" applyProtection="1">
      <alignment vertical="center"/>
      <protection/>
    </xf>
    <xf numFmtId="0" fontId="19" fillId="33" borderId="0" xfId="0" applyFont="1" applyFill="1" applyBorder="1" applyAlignment="1" applyProtection="1">
      <alignment horizontal="center"/>
      <protection/>
    </xf>
    <xf numFmtId="1" fontId="19" fillId="33" borderId="0" xfId="0" applyNumberFormat="1" applyFont="1" applyFill="1" applyBorder="1" applyAlignment="1" applyProtection="1">
      <alignment horizontal="center"/>
      <protection/>
    </xf>
    <xf numFmtId="2" fontId="19" fillId="33" borderId="0" xfId="0" applyNumberFormat="1" applyFont="1" applyFill="1" applyBorder="1" applyAlignment="1" applyProtection="1">
      <alignment horizontal="center"/>
      <protection/>
    </xf>
    <xf numFmtId="1" fontId="10" fillId="33" borderId="21" xfId="0" applyNumberFormat="1" applyFont="1" applyFill="1" applyBorder="1" applyAlignment="1" applyProtection="1">
      <alignment horizontal="left"/>
      <protection/>
    </xf>
    <xf numFmtId="0" fontId="10" fillId="33" borderId="11" xfId="0" applyFont="1" applyFill="1" applyBorder="1" applyAlignment="1" applyProtection="1">
      <alignment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0" xfId="0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>
      <alignment horizontal="right"/>
      <protection/>
    </xf>
    <xf numFmtId="0" fontId="10" fillId="33" borderId="19" xfId="0" applyFont="1" applyFill="1" applyBorder="1" applyAlignment="1" applyProtection="1">
      <alignment horizontal="left"/>
      <protection/>
    </xf>
    <xf numFmtId="0" fontId="10" fillId="33" borderId="14" xfId="0" applyFont="1" applyFill="1" applyBorder="1" applyAlignment="1" applyProtection="1">
      <alignment/>
      <protection/>
    </xf>
    <xf numFmtId="0" fontId="10" fillId="33" borderId="19" xfId="0" applyFont="1" applyFill="1" applyBorder="1" applyAlignment="1" applyProtection="1">
      <alignment/>
      <protection/>
    </xf>
    <xf numFmtId="0" fontId="12" fillId="33" borderId="14" xfId="0" applyFont="1" applyFill="1" applyBorder="1" applyAlignment="1" applyProtection="1">
      <alignment/>
      <protection/>
    </xf>
    <xf numFmtId="0" fontId="13" fillId="33" borderId="0" xfId="0" applyFont="1" applyFill="1" applyBorder="1" applyAlignment="1" applyProtection="1">
      <alignment vertical="center"/>
      <protection/>
    </xf>
    <xf numFmtId="0" fontId="12" fillId="33" borderId="0" xfId="0" applyNumberFormat="1" applyFont="1" applyFill="1" applyBorder="1" applyAlignment="1" applyProtection="1">
      <alignment/>
      <protection/>
    </xf>
    <xf numFmtId="2" fontId="0" fillId="33" borderId="19" xfId="0" applyNumberFormat="1" applyFon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/>
      <protection/>
    </xf>
    <xf numFmtId="1" fontId="0" fillId="33" borderId="14" xfId="0" applyNumberFormat="1" applyFill="1" applyBorder="1" applyAlignment="1" applyProtection="1">
      <alignment horizontal="center"/>
      <protection/>
    </xf>
    <xf numFmtId="0" fontId="10" fillId="33" borderId="22" xfId="0" applyFont="1" applyFill="1" applyBorder="1" applyAlignment="1" applyProtection="1">
      <alignment/>
      <protection/>
    </xf>
    <xf numFmtId="1" fontId="10" fillId="33" borderId="10" xfId="0" applyNumberFormat="1" applyFont="1" applyFill="1" applyBorder="1" applyAlignment="1" applyProtection="1">
      <alignment/>
      <protection/>
    </xf>
    <xf numFmtId="0" fontId="10" fillId="33" borderId="20" xfId="0" applyFont="1" applyFill="1" applyBorder="1" applyAlignment="1" applyProtection="1">
      <alignment horizontal="left"/>
      <protection/>
    </xf>
    <xf numFmtId="1" fontId="2" fillId="33" borderId="0" xfId="0" applyNumberFormat="1" applyFont="1" applyFill="1" applyAlignment="1" applyProtection="1">
      <alignment horizontal="right"/>
      <protection/>
    </xf>
    <xf numFmtId="0" fontId="0" fillId="33" borderId="0" xfId="0" applyFill="1" applyBorder="1" applyAlignment="1" applyProtection="1">
      <alignment horizontal="left"/>
      <protection/>
    </xf>
    <xf numFmtId="2" fontId="0" fillId="33" borderId="0" xfId="0" applyNumberFormat="1" applyFont="1" applyFill="1" applyBorder="1" applyAlignment="1" applyProtection="1">
      <alignment horizontal="left"/>
      <protection/>
    </xf>
    <xf numFmtId="1" fontId="3" fillId="33" borderId="0" xfId="0" applyNumberFormat="1" applyFont="1" applyFill="1" applyAlignment="1" applyProtection="1">
      <alignment/>
      <protection/>
    </xf>
    <xf numFmtId="2" fontId="3" fillId="33" borderId="0" xfId="0" applyNumberFormat="1" applyFont="1" applyFill="1" applyBorder="1" applyAlignment="1" applyProtection="1">
      <alignment horizontal="left"/>
      <protection/>
    </xf>
    <xf numFmtId="2" fontId="0" fillId="33" borderId="0" xfId="0" applyNumberFormat="1" applyFill="1" applyBorder="1" applyAlignment="1" applyProtection="1">
      <alignment horizontal="left"/>
      <protection/>
    </xf>
    <xf numFmtId="1" fontId="2" fillId="33" borderId="0" xfId="0" applyNumberFormat="1" applyFont="1" applyFill="1" applyAlignment="1" applyProtection="1">
      <alignment/>
      <protection/>
    </xf>
    <xf numFmtId="0" fontId="10" fillId="34" borderId="11" xfId="0" applyFont="1" applyFill="1" applyBorder="1" applyAlignment="1" applyProtection="1">
      <alignment horizontal="right"/>
      <protection locked="0"/>
    </xf>
    <xf numFmtId="0" fontId="10" fillId="34" borderId="0" xfId="0" applyFont="1" applyFill="1" applyBorder="1" applyAlignment="1" applyProtection="1">
      <alignment horizontal="right"/>
      <protection locked="0"/>
    </xf>
    <xf numFmtId="0" fontId="0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 horizontal="center"/>
      <protection/>
    </xf>
    <xf numFmtId="49" fontId="0" fillId="33" borderId="0" xfId="0" applyNumberFormat="1" applyFont="1" applyFill="1" applyAlignment="1" applyProtection="1">
      <alignment/>
      <protection/>
    </xf>
    <xf numFmtId="0" fontId="60" fillId="33" borderId="0" xfId="0" applyFont="1" applyFill="1" applyBorder="1" applyAlignment="1" applyProtection="1">
      <alignment horizontal="center"/>
      <protection/>
    </xf>
    <xf numFmtId="2" fontId="60" fillId="33" borderId="0" xfId="0" applyNumberFormat="1" applyFont="1" applyFill="1" applyBorder="1" applyAlignment="1" applyProtection="1">
      <alignment horizontal="center"/>
      <protection/>
    </xf>
    <xf numFmtId="3" fontId="60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/>
      <protection/>
    </xf>
    <xf numFmtId="2" fontId="0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center"/>
      <protection/>
    </xf>
    <xf numFmtId="1" fontId="0" fillId="33" borderId="0" xfId="0" applyNumberFormat="1" applyFont="1" applyFill="1" applyBorder="1" applyAlignment="1" applyProtection="1">
      <alignment horizontal="center"/>
      <protection/>
    </xf>
    <xf numFmtId="9" fontId="60" fillId="33" borderId="0" xfId="0" applyNumberFormat="1" applyFont="1" applyFill="1" applyBorder="1" applyAlignment="1" applyProtection="1">
      <alignment/>
      <protection/>
    </xf>
    <xf numFmtId="0" fontId="60" fillId="33" borderId="0" xfId="0" applyFont="1" applyFill="1" applyBorder="1" applyAlignment="1" applyProtection="1">
      <alignment/>
      <protection/>
    </xf>
    <xf numFmtId="9" fontId="0" fillId="33" borderId="0" xfId="0" applyNumberFormat="1" applyFont="1" applyFill="1" applyAlignment="1" applyProtection="1">
      <alignment/>
      <protection/>
    </xf>
    <xf numFmtId="0" fontId="0" fillId="33" borderId="0" xfId="0" applyNumberFormat="1" applyFont="1" applyFill="1" applyAlignment="1" applyProtection="1">
      <alignment horizontal="center"/>
      <protection/>
    </xf>
    <xf numFmtId="1" fontId="60" fillId="33" borderId="0" xfId="0" applyNumberFormat="1" applyFont="1" applyFill="1" applyBorder="1" applyAlignment="1" applyProtection="1">
      <alignment/>
      <protection/>
    </xf>
    <xf numFmtId="2" fontId="0" fillId="33" borderId="0" xfId="0" applyNumberFormat="1" applyFont="1" applyFill="1" applyBorder="1" applyAlignment="1" applyProtection="1">
      <alignment/>
      <protection/>
    </xf>
    <xf numFmtId="0" fontId="61" fillId="33" borderId="0" xfId="0" applyFont="1" applyFill="1" applyAlignment="1" applyProtection="1">
      <alignment horizontal="center" vertical="center"/>
      <protection/>
    </xf>
    <xf numFmtId="0" fontId="61" fillId="33" borderId="0" xfId="0" applyFont="1" applyFill="1" applyAlignment="1" applyProtection="1">
      <alignment horizontal="left" vertical="center"/>
      <protection/>
    </xf>
    <xf numFmtId="2" fontId="0" fillId="33" borderId="0" xfId="0" applyNumberFormat="1" applyFont="1" applyFill="1" applyAlignment="1" applyProtection="1">
      <alignment/>
      <protection/>
    </xf>
    <xf numFmtId="1" fontId="60" fillId="33" borderId="0" xfId="0" applyNumberFormat="1" applyFont="1" applyFill="1" applyBorder="1" applyAlignment="1" applyProtection="1">
      <alignment horizontal="left"/>
      <protection/>
    </xf>
    <xf numFmtId="1" fontId="0" fillId="33" borderId="0" xfId="0" applyNumberFormat="1" applyFont="1" applyFill="1" applyBorder="1" applyAlignment="1" applyProtection="1">
      <alignment horizontal="left"/>
      <protection/>
    </xf>
    <xf numFmtId="0" fontId="62" fillId="33" borderId="0" xfId="0" applyFont="1" applyFill="1" applyBorder="1" applyAlignment="1" applyProtection="1">
      <alignment/>
      <protection/>
    </xf>
    <xf numFmtId="0" fontId="62" fillId="33" borderId="0" xfId="0" applyFont="1" applyFill="1" applyBorder="1" applyAlignment="1" applyProtection="1">
      <alignment horizontal="left" vertical="center" wrapText="1"/>
      <protection/>
    </xf>
    <xf numFmtId="0" fontId="62" fillId="33" borderId="0" xfId="0" applyFont="1" applyFill="1" applyBorder="1" applyAlignment="1" applyProtection="1">
      <alignment horizontal="center" vertical="center" wrapText="1"/>
      <protection/>
    </xf>
    <xf numFmtId="3" fontId="62" fillId="33" borderId="0" xfId="0" applyNumberFormat="1" applyFont="1" applyFill="1" applyBorder="1" applyAlignment="1" applyProtection="1">
      <alignment vertical="center"/>
      <protection/>
    </xf>
    <xf numFmtId="0" fontId="62" fillId="33" borderId="0" xfId="0" applyFont="1" applyFill="1" applyBorder="1" applyAlignment="1" applyProtection="1">
      <alignment vertical="center"/>
      <protection/>
    </xf>
    <xf numFmtId="0" fontId="62" fillId="33" borderId="0" xfId="0" applyFont="1" applyFill="1" applyBorder="1" applyAlignment="1" applyProtection="1">
      <alignment horizontal="right"/>
      <protection/>
    </xf>
    <xf numFmtId="164" fontId="62" fillId="33" borderId="0" xfId="0" applyNumberFormat="1" applyFont="1" applyFill="1" applyBorder="1" applyAlignment="1" applyProtection="1">
      <alignment horizontal="center"/>
      <protection/>
    </xf>
    <xf numFmtId="1" fontId="62" fillId="33" borderId="0" xfId="0" applyNumberFormat="1" applyFont="1" applyFill="1" applyBorder="1" applyAlignment="1" applyProtection="1">
      <alignment horizontal="center"/>
      <protection/>
    </xf>
    <xf numFmtId="2" fontId="62" fillId="33" borderId="0" xfId="0" applyNumberFormat="1" applyFont="1" applyFill="1" applyBorder="1" applyAlignment="1" applyProtection="1">
      <alignment horizontal="center"/>
      <protection/>
    </xf>
    <xf numFmtId="3" fontId="62" fillId="33" borderId="0" xfId="0" applyNumberFormat="1" applyFont="1" applyFill="1" applyBorder="1" applyAlignment="1" applyProtection="1">
      <alignment/>
      <protection/>
    </xf>
    <xf numFmtId="1" fontId="62" fillId="33" borderId="0" xfId="0" applyNumberFormat="1" applyFont="1" applyFill="1" applyBorder="1" applyAlignment="1" applyProtection="1">
      <alignment/>
      <protection/>
    </xf>
    <xf numFmtId="165" fontId="62" fillId="33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166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4" fillId="0" borderId="0" xfId="0" applyFont="1" applyFill="1" applyAlignment="1" applyProtection="1">
      <alignment/>
      <protection/>
    </xf>
    <xf numFmtId="2" fontId="3" fillId="0" borderId="0" xfId="0" applyNumberFormat="1" applyFont="1" applyFill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 horizontal="center"/>
      <protection/>
    </xf>
    <xf numFmtId="49" fontId="0" fillId="36" borderId="0" xfId="0" applyNumberFormat="1" applyFont="1" applyFill="1" applyAlignment="1" applyProtection="1">
      <alignment/>
      <protection/>
    </xf>
    <xf numFmtId="0" fontId="60" fillId="36" borderId="0" xfId="0" applyFont="1" applyFill="1" applyBorder="1" applyAlignment="1" applyProtection="1">
      <alignment horizontal="center"/>
      <protection/>
    </xf>
    <xf numFmtId="2" fontId="60" fillId="36" borderId="0" xfId="0" applyNumberFormat="1" applyFont="1" applyFill="1" applyBorder="1" applyAlignment="1" applyProtection="1">
      <alignment horizontal="center"/>
      <protection/>
    </xf>
    <xf numFmtId="3" fontId="60" fillId="36" borderId="0" xfId="0" applyNumberFormat="1" applyFont="1" applyFill="1" applyBorder="1" applyAlignment="1" applyProtection="1">
      <alignment horizontal="center"/>
      <protection/>
    </xf>
    <xf numFmtId="0" fontId="0" fillId="36" borderId="0" xfId="0" applyFont="1" applyFill="1" applyBorder="1" applyAlignment="1" applyProtection="1">
      <alignment/>
      <protection/>
    </xf>
    <xf numFmtId="2" fontId="0" fillId="36" borderId="0" xfId="0" applyNumberFormat="1" applyFont="1" applyFill="1" applyBorder="1" applyAlignment="1" applyProtection="1">
      <alignment horizontal="center"/>
      <protection/>
    </xf>
    <xf numFmtId="0" fontId="0" fillId="36" borderId="0" xfId="0" applyFont="1" applyFill="1" applyBorder="1" applyAlignment="1" applyProtection="1">
      <alignment horizontal="center"/>
      <protection/>
    </xf>
    <xf numFmtId="0" fontId="0" fillId="36" borderId="0" xfId="0" applyFont="1" applyFill="1" applyBorder="1" applyAlignment="1" applyProtection="1">
      <alignment horizontal="center"/>
      <protection/>
    </xf>
    <xf numFmtId="0" fontId="0" fillId="36" borderId="0" xfId="0" applyFont="1" applyFill="1" applyBorder="1" applyAlignment="1" applyProtection="1">
      <alignment horizontal="left"/>
      <protection/>
    </xf>
    <xf numFmtId="1" fontId="0" fillId="36" borderId="0" xfId="0" applyNumberFormat="1" applyFont="1" applyFill="1" applyBorder="1" applyAlignment="1" applyProtection="1">
      <alignment horizontal="left"/>
      <protection/>
    </xf>
    <xf numFmtId="2" fontId="0" fillId="36" borderId="0" xfId="0" applyNumberFormat="1" applyFont="1" applyFill="1" applyBorder="1" applyAlignment="1" applyProtection="1">
      <alignment horizontal="center"/>
      <protection/>
    </xf>
    <xf numFmtId="166" fontId="0" fillId="36" borderId="0" xfId="0" applyNumberFormat="1" applyFont="1" applyFill="1" applyBorder="1" applyAlignment="1" applyProtection="1">
      <alignment horizontal="center"/>
      <protection/>
    </xf>
    <xf numFmtId="1" fontId="0" fillId="36" borderId="0" xfId="0" applyNumberFormat="1" applyFont="1" applyFill="1" applyBorder="1" applyAlignment="1" applyProtection="1">
      <alignment horizontal="center"/>
      <protection/>
    </xf>
    <xf numFmtId="166" fontId="0" fillId="36" borderId="0" xfId="0" applyNumberFormat="1" applyFont="1" applyFill="1" applyBorder="1" applyAlignment="1" applyProtection="1">
      <alignment horizontal="center"/>
      <protection/>
    </xf>
    <xf numFmtId="9" fontId="60" fillId="36" borderId="0" xfId="0" applyNumberFormat="1" applyFont="1" applyFill="1" applyBorder="1" applyAlignment="1" applyProtection="1">
      <alignment/>
      <protection/>
    </xf>
    <xf numFmtId="0" fontId="60" fillId="36" borderId="0" xfId="0" applyFont="1" applyFill="1" applyBorder="1" applyAlignment="1" applyProtection="1">
      <alignment/>
      <protection/>
    </xf>
    <xf numFmtId="9" fontId="0" fillId="36" borderId="0" xfId="0" applyNumberFormat="1" applyFont="1" applyFill="1" applyBorder="1" applyAlignment="1" applyProtection="1">
      <alignment/>
      <protection/>
    </xf>
    <xf numFmtId="0" fontId="0" fillId="36" borderId="0" xfId="0" applyNumberFormat="1" applyFont="1" applyFill="1" applyAlignment="1" applyProtection="1">
      <alignment horizontal="center"/>
      <protection/>
    </xf>
    <xf numFmtId="1" fontId="60" fillId="36" borderId="0" xfId="0" applyNumberFormat="1" applyFont="1" applyFill="1" applyBorder="1" applyAlignment="1" applyProtection="1">
      <alignment/>
      <protection/>
    </xf>
    <xf numFmtId="9" fontId="0" fillId="36" borderId="0" xfId="0" applyNumberFormat="1" applyFont="1" applyFill="1" applyAlignment="1" applyProtection="1">
      <alignment/>
      <protection/>
    </xf>
    <xf numFmtId="2" fontId="0" fillId="36" borderId="0" xfId="0" applyNumberFormat="1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0" fillId="36" borderId="0" xfId="0" applyFont="1" applyFill="1" applyAlignment="1" applyProtection="1">
      <alignment horizontal="center"/>
      <protection/>
    </xf>
    <xf numFmtId="0" fontId="61" fillId="36" borderId="0" xfId="0" applyFont="1" applyFill="1" applyAlignment="1" applyProtection="1">
      <alignment horizontal="center" vertical="center"/>
      <protection/>
    </xf>
    <xf numFmtId="0" fontId="61" fillId="36" borderId="0" xfId="0" applyFont="1" applyFill="1" applyAlignment="1" applyProtection="1">
      <alignment horizontal="left" vertical="center"/>
      <protection/>
    </xf>
    <xf numFmtId="2" fontId="0" fillId="36" borderId="0" xfId="0" applyNumberFormat="1" applyFont="1" applyFill="1" applyAlignment="1" applyProtection="1">
      <alignment/>
      <protection/>
    </xf>
    <xf numFmtId="1" fontId="60" fillId="36" borderId="0" xfId="0" applyNumberFormat="1" applyFont="1" applyFill="1" applyBorder="1" applyAlignment="1" applyProtection="1">
      <alignment horizontal="left"/>
      <protection/>
    </xf>
    <xf numFmtId="2" fontId="0" fillId="36" borderId="0" xfId="0" applyNumberFormat="1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/>
      <protection/>
    </xf>
    <xf numFmtId="0" fontId="15" fillId="36" borderId="0" xfId="0" applyFont="1" applyFill="1" applyBorder="1" applyAlignment="1" applyProtection="1">
      <alignment/>
      <protection/>
    </xf>
    <xf numFmtId="0" fontId="62" fillId="36" borderId="0" xfId="0" applyFont="1" applyFill="1" applyBorder="1" applyAlignment="1" applyProtection="1">
      <alignment horizontal="left" vertical="center" wrapText="1"/>
      <protection/>
    </xf>
    <xf numFmtId="0" fontId="62" fillId="36" borderId="0" xfId="0" applyFont="1" applyFill="1" applyBorder="1" applyAlignment="1" applyProtection="1">
      <alignment horizontal="center" vertical="center" wrapText="1"/>
      <protection/>
    </xf>
    <xf numFmtId="3" fontId="62" fillId="36" borderId="0" xfId="0" applyNumberFormat="1" applyFont="1" applyFill="1" applyBorder="1" applyAlignment="1" applyProtection="1">
      <alignment vertical="center"/>
      <protection/>
    </xf>
    <xf numFmtId="0" fontId="62" fillId="36" borderId="0" xfId="0" applyFont="1" applyFill="1" applyBorder="1" applyAlignment="1" applyProtection="1">
      <alignment vertical="center"/>
      <protection/>
    </xf>
    <xf numFmtId="0" fontId="15" fillId="36" borderId="0" xfId="0" applyFont="1" applyFill="1" applyBorder="1" applyAlignment="1" applyProtection="1">
      <alignment horizontal="right"/>
      <protection/>
    </xf>
    <xf numFmtId="0" fontId="62" fillId="36" borderId="0" xfId="0" applyFont="1" applyFill="1" applyBorder="1" applyAlignment="1" applyProtection="1">
      <alignment/>
      <protection/>
    </xf>
    <xf numFmtId="164" fontId="62" fillId="36" borderId="0" xfId="0" applyNumberFormat="1" applyFont="1" applyFill="1" applyBorder="1" applyAlignment="1" applyProtection="1">
      <alignment horizontal="center"/>
      <protection/>
    </xf>
    <xf numFmtId="1" fontId="62" fillId="36" borderId="0" xfId="0" applyNumberFormat="1" applyFont="1" applyFill="1" applyBorder="1" applyAlignment="1" applyProtection="1">
      <alignment horizontal="center"/>
      <protection/>
    </xf>
    <xf numFmtId="2" fontId="62" fillId="36" borderId="0" xfId="0" applyNumberFormat="1" applyFont="1" applyFill="1" applyBorder="1" applyAlignment="1" applyProtection="1">
      <alignment horizontal="center"/>
      <protection/>
    </xf>
    <xf numFmtId="3" fontId="62" fillId="36" borderId="0" xfId="0" applyNumberFormat="1" applyFont="1" applyFill="1" applyBorder="1" applyAlignment="1" applyProtection="1">
      <alignment/>
      <protection/>
    </xf>
    <xf numFmtId="1" fontId="62" fillId="36" borderId="0" xfId="0" applyNumberFormat="1" applyFont="1" applyFill="1" applyBorder="1" applyAlignment="1" applyProtection="1">
      <alignment/>
      <protection/>
    </xf>
    <xf numFmtId="165" fontId="62" fillId="36" borderId="0" xfId="0" applyNumberFormat="1" applyFont="1" applyFill="1" applyBorder="1" applyAlignment="1" applyProtection="1">
      <alignment/>
      <protection/>
    </xf>
    <xf numFmtId="0" fontId="16" fillId="36" borderId="0" xfId="0" applyFont="1" applyFill="1" applyBorder="1" applyAlignment="1" applyProtection="1">
      <alignment horizontal="right"/>
      <protection/>
    </xf>
    <xf numFmtId="0" fontId="16" fillId="36" borderId="0" xfId="0" applyFont="1" applyFill="1" applyBorder="1" applyAlignment="1" applyProtection="1">
      <alignment/>
      <protection/>
    </xf>
    <xf numFmtId="0" fontId="16" fillId="36" borderId="0" xfId="0" applyFont="1" applyFill="1" applyBorder="1" applyAlignment="1" applyProtection="1">
      <alignment horizontal="left" vertical="center" wrapText="1"/>
      <protection/>
    </xf>
    <xf numFmtId="0" fontId="16" fillId="36" borderId="0" xfId="0" applyFont="1" applyFill="1" applyBorder="1" applyAlignment="1" applyProtection="1">
      <alignment horizontal="center" vertical="center" wrapText="1"/>
      <protection/>
    </xf>
    <xf numFmtId="3" fontId="16" fillId="36" borderId="0" xfId="0" applyNumberFormat="1" applyFont="1" applyFill="1" applyBorder="1" applyAlignment="1" applyProtection="1">
      <alignment vertical="center"/>
      <protection/>
    </xf>
    <xf numFmtId="0" fontId="16" fillId="36" borderId="0" xfId="0" applyFont="1" applyFill="1" applyBorder="1" applyAlignment="1" applyProtection="1">
      <alignment vertical="center"/>
      <protection/>
    </xf>
    <xf numFmtId="0" fontId="2" fillId="37" borderId="17" xfId="0" applyFont="1" applyFill="1" applyBorder="1" applyAlignment="1">
      <alignment horizontal="center" vertical="center" wrapText="1"/>
    </xf>
    <xf numFmtId="0" fontId="2" fillId="37" borderId="23" xfId="0" applyFont="1" applyFill="1" applyBorder="1" applyAlignment="1">
      <alignment horizontal="center" vertical="center" wrapText="1"/>
    </xf>
    <xf numFmtId="1" fontId="63" fillId="33" borderId="0" xfId="0" applyNumberFormat="1" applyFont="1" applyFill="1" applyBorder="1" applyAlignment="1" applyProtection="1">
      <alignment wrapText="1"/>
      <protection/>
    </xf>
    <xf numFmtId="0" fontId="26" fillId="33" borderId="0" xfId="0" applyFont="1" applyFill="1" applyAlignment="1" applyProtection="1">
      <alignment/>
      <protection/>
    </xf>
    <xf numFmtId="0" fontId="27" fillId="33" borderId="0" xfId="0" applyFont="1" applyFill="1" applyAlignment="1" applyProtection="1">
      <alignment/>
      <protection/>
    </xf>
    <xf numFmtId="0" fontId="64" fillId="33" borderId="0" xfId="0" applyFont="1" applyFill="1" applyAlignment="1" applyProtection="1">
      <alignment/>
      <protection/>
    </xf>
    <xf numFmtId="0" fontId="28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horizontal="left"/>
      <protection/>
    </xf>
    <xf numFmtId="0" fontId="26" fillId="33" borderId="0" xfId="0" applyFont="1" applyFill="1" applyAlignment="1" applyProtection="1">
      <alignment horizontal="left" vertical="top" wrapText="1"/>
      <protection/>
    </xf>
    <xf numFmtId="0" fontId="8" fillId="34" borderId="10" xfId="0" applyFont="1" applyFill="1" applyBorder="1" applyAlignment="1" applyProtection="1">
      <alignment horizontal="left"/>
      <protection locked="0"/>
    </xf>
    <xf numFmtId="0" fontId="9" fillId="35" borderId="24" xfId="0" applyFont="1" applyFill="1" applyBorder="1" applyAlignment="1" applyProtection="1">
      <alignment horizontal="center" vertical="center"/>
      <protection/>
    </xf>
    <xf numFmtId="0" fontId="9" fillId="35" borderId="19" xfId="0" applyFont="1" applyFill="1" applyBorder="1" applyAlignment="1" applyProtection="1">
      <alignment horizontal="center" vertical="center"/>
      <protection/>
    </xf>
    <xf numFmtId="0" fontId="9" fillId="35" borderId="25" xfId="0" applyFont="1" applyFill="1" applyBorder="1" applyAlignment="1" applyProtection="1">
      <alignment horizontal="center" vertical="center"/>
      <protection/>
    </xf>
    <xf numFmtId="0" fontId="9" fillId="35" borderId="26" xfId="0" applyFont="1" applyFill="1" applyBorder="1" applyAlignment="1" applyProtection="1">
      <alignment horizontal="center" vertical="center"/>
      <protection/>
    </xf>
    <xf numFmtId="0" fontId="9" fillId="35" borderId="27" xfId="0" applyFont="1" applyFill="1" applyBorder="1" applyAlignment="1" applyProtection="1">
      <alignment horizontal="center" vertical="center"/>
      <protection/>
    </xf>
    <xf numFmtId="0" fontId="9" fillId="35" borderId="28" xfId="0" applyFont="1" applyFill="1" applyBorder="1" applyAlignment="1" applyProtection="1">
      <alignment horizontal="center" vertical="center"/>
      <protection/>
    </xf>
    <xf numFmtId="0" fontId="8" fillId="34" borderId="10" xfId="0" applyFont="1" applyFill="1" applyBorder="1" applyAlignment="1" applyProtection="1">
      <alignment horizontal="right"/>
      <protection locked="0"/>
    </xf>
    <xf numFmtId="0" fontId="8" fillId="34" borderId="11" xfId="0" applyFont="1" applyFill="1" applyBorder="1" applyAlignment="1" applyProtection="1">
      <alignment horizontal="right"/>
      <protection locked="0"/>
    </xf>
    <xf numFmtId="0" fontId="25" fillId="33" borderId="11" xfId="0" applyFont="1" applyFill="1" applyBorder="1" applyAlignment="1" applyProtection="1">
      <alignment horizontal="left"/>
      <protection/>
    </xf>
    <xf numFmtId="0" fontId="25" fillId="33" borderId="0" xfId="0" applyFont="1" applyFill="1" applyBorder="1" applyAlignment="1" applyProtection="1">
      <alignment horizontal="left"/>
      <protection/>
    </xf>
    <xf numFmtId="1" fontId="7" fillId="33" borderId="21" xfId="0" applyNumberFormat="1" applyFont="1" applyFill="1" applyBorder="1" applyAlignment="1" applyProtection="1">
      <alignment horizontal="center" vertical="center" wrapText="1"/>
      <protection/>
    </xf>
    <xf numFmtId="1" fontId="7" fillId="33" borderId="14" xfId="0" applyNumberFormat="1" applyFont="1" applyFill="1" applyBorder="1" applyAlignment="1" applyProtection="1">
      <alignment horizontal="center" vertical="center" wrapText="1"/>
      <protection/>
    </xf>
    <xf numFmtId="1" fontId="7" fillId="33" borderId="22" xfId="0" applyNumberFormat="1" applyFont="1" applyFill="1" applyBorder="1" applyAlignment="1" applyProtection="1">
      <alignment horizontal="center" vertical="center" wrapText="1"/>
      <protection/>
    </xf>
    <xf numFmtId="1" fontId="63" fillId="33" borderId="0" xfId="0" applyNumberFormat="1" applyFont="1" applyFill="1" applyBorder="1" applyAlignment="1" applyProtection="1">
      <alignment horizontal="left" vertical="top" wrapText="1"/>
      <protection/>
    </xf>
    <xf numFmtId="0" fontId="10" fillId="34" borderId="0" xfId="0" applyFont="1" applyFill="1" applyBorder="1" applyAlignment="1" applyProtection="1">
      <alignment horizontal="right"/>
      <protection locked="0"/>
    </xf>
    <xf numFmtId="0" fontId="21" fillId="33" borderId="0" xfId="0" applyFont="1" applyFill="1" applyBorder="1" applyAlignment="1" applyProtection="1">
      <alignment horizontal="right"/>
      <protection/>
    </xf>
    <xf numFmtId="0" fontId="21" fillId="33" borderId="11" xfId="0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409575</xdr:colOff>
      <xdr:row>0</xdr:row>
      <xdr:rowOff>180975</xdr:rowOff>
    </xdr:from>
    <xdr:to>
      <xdr:col>10</xdr:col>
      <xdr:colOff>447675</xdr:colOff>
      <xdr:row>5</xdr:row>
      <xdr:rowOff>85725</xdr:rowOff>
    </xdr:to>
    <xdr:pic>
      <xdr:nvPicPr>
        <xdr:cNvPr id="1" name="Grafik 3" descr="Herz Logo Freigestellt für MS Office (tif)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180975"/>
          <a:ext cx="41814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</xdr:colOff>
      <xdr:row>0</xdr:row>
      <xdr:rowOff>180975</xdr:rowOff>
    </xdr:from>
    <xdr:to>
      <xdr:col>10</xdr:col>
      <xdr:colOff>428625</xdr:colOff>
      <xdr:row>5</xdr:row>
      <xdr:rowOff>85725</xdr:rowOff>
    </xdr:to>
    <xdr:pic>
      <xdr:nvPicPr>
        <xdr:cNvPr id="1" name="Grafik 3" descr="Herz Logo Freigestellt für MS Office (tif)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180975"/>
          <a:ext cx="44958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47"/>
  <sheetViews>
    <sheetView tabSelected="1" zoomScalePageLayoutView="0" workbookViewId="0" topLeftCell="A1">
      <selection activeCell="C5" sqref="C5:D5"/>
    </sheetView>
  </sheetViews>
  <sheetFormatPr defaultColWidth="0" defaultRowHeight="15" zeroHeight="1"/>
  <cols>
    <col min="1" max="1" width="8.7109375" style="1" customWidth="1"/>
    <col min="2" max="2" width="15.140625" style="1" customWidth="1"/>
    <col min="3" max="3" width="14.57421875" style="1" customWidth="1"/>
    <col min="4" max="5" width="13.421875" style="1" customWidth="1"/>
    <col min="6" max="6" width="14.28125" style="1" customWidth="1"/>
    <col min="7" max="7" width="15.7109375" style="1" customWidth="1"/>
    <col min="8" max="8" width="19.7109375" style="1" customWidth="1"/>
    <col min="9" max="9" width="15.28125" style="1" customWidth="1"/>
    <col min="10" max="10" width="11.421875" style="1" customWidth="1"/>
    <col min="11" max="11" width="8.7109375" style="2" customWidth="1"/>
    <col min="12" max="12" width="13.28125" style="2" hidden="1" customWidth="1"/>
    <col min="13" max="13" width="11.421875" style="2" hidden="1" customWidth="1"/>
    <col min="14" max="14" width="11.140625" style="2" hidden="1" customWidth="1"/>
    <col min="15" max="21" width="11.421875" style="2" hidden="1" customWidth="1"/>
    <col min="22" max="22" width="11.421875" style="40" hidden="1" customWidth="1"/>
    <col min="23" max="24" width="11.421875" style="2" hidden="1" customWidth="1"/>
    <col min="25" max="25" width="10.7109375" style="2" hidden="1" customWidth="1"/>
    <col min="26" max="16384" width="11.421875" style="2" hidden="1" customWidth="1"/>
  </cols>
  <sheetData>
    <row r="1" spans="19:23" ht="15">
      <c r="S1" s="99"/>
      <c r="T1" s="99" t="s">
        <v>19</v>
      </c>
      <c r="U1" s="99" t="s">
        <v>43</v>
      </c>
      <c r="V1" s="100"/>
      <c r="W1" s="99"/>
    </row>
    <row r="2" spans="19:23" ht="15">
      <c r="S2" s="99"/>
      <c r="T2" s="99"/>
      <c r="U2" s="99"/>
      <c r="V2" s="100"/>
      <c r="W2" s="99"/>
    </row>
    <row r="3" spans="19:23" ht="15">
      <c r="S3" s="99"/>
      <c r="T3" s="99" t="s">
        <v>20</v>
      </c>
      <c r="U3" s="101">
        <v>25</v>
      </c>
      <c r="V3" s="100"/>
      <c r="W3" s="99"/>
    </row>
    <row r="4" spans="1:23" ht="15">
      <c r="A4" s="4"/>
      <c r="S4" s="99"/>
      <c r="T4" s="99" t="s">
        <v>26</v>
      </c>
      <c r="U4" s="101">
        <v>35</v>
      </c>
      <c r="V4" s="100"/>
      <c r="W4" s="99"/>
    </row>
    <row r="5" spans="1:23" ht="18.75">
      <c r="A5" s="4"/>
      <c r="B5" s="5" t="s">
        <v>81</v>
      </c>
      <c r="C5" s="203" t="s">
        <v>41</v>
      </c>
      <c r="D5" s="203"/>
      <c r="E5" s="219" t="s">
        <v>82</v>
      </c>
      <c r="F5" s="6"/>
      <c r="G5" s="6"/>
      <c r="S5" s="99"/>
      <c r="T5" s="99" t="s">
        <v>27</v>
      </c>
      <c r="U5" s="101">
        <v>45</v>
      </c>
      <c r="V5" s="100"/>
      <c r="W5" s="99"/>
    </row>
    <row r="6" spans="1:23" ht="18.75">
      <c r="A6" s="4"/>
      <c r="B6" s="7"/>
      <c r="C6" s="6"/>
      <c r="D6" s="6"/>
      <c r="E6" s="6"/>
      <c r="F6" s="6"/>
      <c r="G6" s="6"/>
      <c r="S6" s="99"/>
      <c r="T6" s="99" t="s">
        <v>28</v>
      </c>
      <c r="U6" s="101">
        <v>65</v>
      </c>
      <c r="V6" s="100"/>
      <c r="W6" s="99"/>
    </row>
    <row r="7" spans="1:23" ht="18.75">
      <c r="A7" s="4"/>
      <c r="B7" s="7" t="s">
        <v>88</v>
      </c>
      <c r="C7" s="6"/>
      <c r="D7" s="8">
        <f>VLOOKUP(C5,T3:U20,2,0)</f>
        <v>800</v>
      </c>
      <c r="E7" s="7" t="s">
        <v>44</v>
      </c>
      <c r="F7" s="6"/>
      <c r="G7" s="6"/>
      <c r="S7" s="99"/>
      <c r="T7" s="99" t="s">
        <v>29</v>
      </c>
      <c r="U7" s="101">
        <v>80</v>
      </c>
      <c r="V7" s="100"/>
      <c r="W7" s="99"/>
    </row>
    <row r="8" spans="1:23" ht="18.75">
      <c r="A8" s="4"/>
      <c r="B8" s="7"/>
      <c r="C8" s="6"/>
      <c r="D8" s="6"/>
      <c r="E8" s="6"/>
      <c r="F8" s="6"/>
      <c r="G8" s="6"/>
      <c r="K8" s="30"/>
      <c r="S8" s="99"/>
      <c r="T8" s="99" t="s">
        <v>30</v>
      </c>
      <c r="U8" s="101">
        <v>101</v>
      </c>
      <c r="V8" s="100"/>
      <c r="W8" s="99"/>
    </row>
    <row r="9" spans="1:23" ht="18.75">
      <c r="A9" s="4"/>
      <c r="B9" s="9" t="s">
        <v>89</v>
      </c>
      <c r="C9" s="10"/>
      <c r="D9" s="42" t="s">
        <v>122</v>
      </c>
      <c r="E9" s="220" t="s">
        <v>83</v>
      </c>
      <c r="F9" s="11"/>
      <c r="G9" s="12" t="s">
        <v>85</v>
      </c>
      <c r="H9" s="11"/>
      <c r="I9" s="11"/>
      <c r="J9" s="11"/>
      <c r="K9" s="30"/>
      <c r="S9" s="99"/>
      <c r="T9" s="99" t="s">
        <v>31</v>
      </c>
      <c r="U9" s="101">
        <v>130</v>
      </c>
      <c r="V9" s="100"/>
      <c r="W9" s="99"/>
    </row>
    <row r="10" spans="1:23" ht="18.75">
      <c r="A10" s="4"/>
      <c r="B10" s="7" t="s">
        <v>90</v>
      </c>
      <c r="C10" s="6"/>
      <c r="D10" s="6">
        <f>VLOOKUP(D9,T36:Y39,6,0)</f>
        <v>558</v>
      </c>
      <c r="E10" s="7" t="s">
        <v>61</v>
      </c>
      <c r="F10" s="6"/>
      <c r="G10" s="6"/>
      <c r="K10" s="30"/>
      <c r="S10" s="99"/>
      <c r="T10" s="99" t="s">
        <v>32</v>
      </c>
      <c r="U10" s="101">
        <v>150</v>
      </c>
      <c r="V10" s="100"/>
      <c r="W10" s="99"/>
    </row>
    <row r="11" spans="1:23" ht="18.75">
      <c r="A11" s="4"/>
      <c r="B11" s="7" t="s">
        <v>91</v>
      </c>
      <c r="C11" s="6"/>
      <c r="D11" s="6">
        <f>VLOOKUP(D9,T36:W39,2,0)</f>
        <v>18.4</v>
      </c>
      <c r="E11" s="7" t="s">
        <v>59</v>
      </c>
      <c r="F11" s="13">
        <f>D11/3.6</f>
        <v>5.111111111111111</v>
      </c>
      <c r="G11" s="7" t="s">
        <v>46</v>
      </c>
      <c r="K11" s="30"/>
      <c r="S11" s="99"/>
      <c r="T11" s="99" t="s">
        <v>33</v>
      </c>
      <c r="U11" s="101">
        <v>220</v>
      </c>
      <c r="V11" s="100"/>
      <c r="W11" s="99"/>
    </row>
    <row r="12" spans="1:23" ht="18.75">
      <c r="A12" s="4"/>
      <c r="B12" s="7" t="s">
        <v>92</v>
      </c>
      <c r="C12" s="6"/>
      <c r="D12" s="6">
        <f>VLOOKUP(D9,T36:W39,3,0)</f>
        <v>1426</v>
      </c>
      <c r="E12" s="7" t="s">
        <v>45</v>
      </c>
      <c r="F12" s="6"/>
      <c r="G12" s="6"/>
      <c r="K12" s="30"/>
      <c r="S12" s="99"/>
      <c r="T12" s="99" t="s">
        <v>34</v>
      </c>
      <c r="U12" s="101">
        <v>250</v>
      </c>
      <c r="V12" s="100"/>
      <c r="W12" s="99"/>
    </row>
    <row r="13" spans="1:23" ht="18.75">
      <c r="A13" s="4"/>
      <c r="B13" s="5" t="s">
        <v>93</v>
      </c>
      <c r="C13" s="14"/>
      <c r="D13" s="14">
        <f>VLOOKUP(D9,T36:W39,4,0)</f>
        <v>0.5</v>
      </c>
      <c r="E13" s="5" t="s">
        <v>58</v>
      </c>
      <c r="F13" s="14"/>
      <c r="G13" s="14"/>
      <c r="H13" s="15"/>
      <c r="I13" s="15"/>
      <c r="J13" s="15"/>
      <c r="K13" s="30"/>
      <c r="S13" s="99"/>
      <c r="T13" s="99" t="s">
        <v>35</v>
      </c>
      <c r="U13" s="101">
        <v>300</v>
      </c>
      <c r="V13" s="100"/>
      <c r="W13" s="99"/>
    </row>
    <row r="14" spans="1:23" ht="15">
      <c r="A14" s="4"/>
      <c r="B14" s="16" t="s">
        <v>84</v>
      </c>
      <c r="K14" s="30"/>
      <c r="M14" s="102"/>
      <c r="N14" s="102"/>
      <c r="O14" s="102"/>
      <c r="P14" s="102"/>
      <c r="Q14" s="102"/>
      <c r="R14" s="102"/>
      <c r="S14" s="99"/>
      <c r="T14" s="99" t="s">
        <v>36</v>
      </c>
      <c r="U14" s="101">
        <v>350</v>
      </c>
      <c r="V14" s="100"/>
      <c r="W14" s="99"/>
    </row>
    <row r="15" spans="1:23" ht="15.75" thickBot="1">
      <c r="A15" s="4"/>
      <c r="C15" s="17"/>
      <c r="D15" s="17"/>
      <c r="E15" s="17"/>
      <c r="F15" s="17"/>
      <c r="G15" s="17"/>
      <c r="H15" s="17"/>
      <c r="I15" s="17"/>
      <c r="J15" s="17"/>
      <c r="K15" s="30"/>
      <c r="M15" s="103"/>
      <c r="N15" s="103"/>
      <c r="O15" s="103"/>
      <c r="P15" s="103"/>
      <c r="Q15" s="103"/>
      <c r="R15" s="103"/>
      <c r="S15" s="99"/>
      <c r="T15" s="99" t="s">
        <v>37</v>
      </c>
      <c r="U15" s="101">
        <v>400</v>
      </c>
      <c r="V15" s="100"/>
      <c r="W15" s="99"/>
    </row>
    <row r="16" spans="2:23" ht="46.5" thickBot="1" thickTop="1">
      <c r="B16" s="193" t="s">
        <v>86</v>
      </c>
      <c r="C16" s="193" t="s">
        <v>87</v>
      </c>
      <c r="D16" s="193" t="s">
        <v>94</v>
      </c>
      <c r="E16" s="193" t="s">
        <v>95</v>
      </c>
      <c r="F16" s="193" t="s">
        <v>96</v>
      </c>
      <c r="G16" s="193" t="s">
        <v>97</v>
      </c>
      <c r="H16" s="193" t="s">
        <v>98</v>
      </c>
      <c r="I16" s="193" t="s">
        <v>99</v>
      </c>
      <c r="J16" s="194" t="s">
        <v>100</v>
      </c>
      <c r="M16" s="104"/>
      <c r="N16" s="104"/>
      <c r="O16" s="104"/>
      <c r="P16" s="104"/>
      <c r="Q16" s="104"/>
      <c r="R16" s="104"/>
      <c r="S16" s="105"/>
      <c r="T16" s="99" t="s">
        <v>38</v>
      </c>
      <c r="U16" s="101">
        <v>450</v>
      </c>
      <c r="V16" s="100"/>
      <c r="W16" s="99"/>
    </row>
    <row r="17" spans="1:255" s="30" customFormat="1" ht="15.75" thickTop="1">
      <c r="A17" s="1"/>
      <c r="B17" s="18">
        <f>D7</f>
        <v>800</v>
      </c>
      <c r="C17" s="204">
        <v>100</v>
      </c>
      <c r="D17" s="18">
        <v>20</v>
      </c>
      <c r="E17" s="19">
        <f>100*D17/(100-D17)</f>
        <v>25</v>
      </c>
      <c r="F17" s="20">
        <f>(((D11*800)-(2.2562*200))/1000)/3.6</f>
        <v>3.963544444444444</v>
      </c>
      <c r="G17" s="21">
        <f>(((D10+(D10*$E$17/100))*$F$17/2500))*1000</f>
        <v>1105.8289</v>
      </c>
      <c r="H17" s="21">
        <f>$D$7/(F17*I17)*100</f>
        <v>219.39080779329777</v>
      </c>
      <c r="I17" s="21">
        <v>92</v>
      </c>
      <c r="J17" s="21">
        <f>(H17*$D$13)/100</f>
        <v>1.096954038966489</v>
      </c>
      <c r="K17" s="22"/>
      <c r="L17" s="23"/>
      <c r="M17" s="24"/>
      <c r="N17" s="24"/>
      <c r="O17" s="25"/>
      <c r="P17" s="26"/>
      <c r="Q17" s="23"/>
      <c r="R17" s="27"/>
      <c r="S17" s="106"/>
      <c r="T17" s="99" t="s">
        <v>39</v>
      </c>
      <c r="U17" s="101">
        <v>500</v>
      </c>
      <c r="V17" s="107"/>
      <c r="W17" s="108"/>
      <c r="X17" s="23"/>
      <c r="Y17" s="27"/>
      <c r="Z17" s="23"/>
      <c r="AA17" s="24"/>
      <c r="AB17" s="24"/>
      <c r="AC17" s="24"/>
      <c r="AD17" s="29"/>
      <c r="AE17" s="23"/>
      <c r="AF17" s="27"/>
      <c r="AG17" s="23"/>
      <c r="AH17" s="24"/>
      <c r="AI17" s="24"/>
      <c r="AJ17" s="24"/>
      <c r="AK17" s="29"/>
      <c r="AL17" s="23"/>
      <c r="AM17" s="27"/>
      <c r="AN17" s="23"/>
      <c r="AO17" s="24"/>
      <c r="AP17" s="24"/>
      <c r="AQ17" s="24"/>
      <c r="AR17" s="29"/>
      <c r="AS17" s="23"/>
      <c r="AT17" s="27"/>
      <c r="AU17" s="23"/>
      <c r="AV17" s="24"/>
      <c r="AW17" s="24"/>
      <c r="AX17" s="24"/>
      <c r="AY17" s="29"/>
      <c r="AZ17" s="23"/>
      <c r="BA17" s="27"/>
      <c r="BB17" s="23"/>
      <c r="BC17" s="24"/>
      <c r="BD17" s="24"/>
      <c r="BE17" s="24"/>
      <c r="BF17" s="29"/>
      <c r="BG17" s="23"/>
      <c r="BH17" s="27"/>
      <c r="BI17" s="23"/>
      <c r="BJ17" s="24"/>
      <c r="BK17" s="24"/>
      <c r="BL17" s="24"/>
      <c r="BM17" s="29"/>
      <c r="BN17" s="23"/>
      <c r="BO17" s="27"/>
      <c r="BP17" s="23"/>
      <c r="BQ17" s="24"/>
      <c r="BR17" s="24"/>
      <c r="BS17" s="24"/>
      <c r="BT17" s="29"/>
      <c r="BU17" s="23"/>
      <c r="BV17" s="27"/>
      <c r="BW17" s="23"/>
      <c r="BX17" s="24"/>
      <c r="BY17" s="24"/>
      <c r="BZ17" s="24"/>
      <c r="CA17" s="29"/>
      <c r="CB17" s="23"/>
      <c r="CC17" s="27"/>
      <c r="CD17" s="23"/>
      <c r="CE17" s="24"/>
      <c r="CF17" s="24"/>
      <c r="CG17" s="24"/>
      <c r="CH17" s="29"/>
      <c r="CI17" s="23"/>
      <c r="CJ17" s="27"/>
      <c r="CK17" s="23"/>
      <c r="CL17" s="24"/>
      <c r="CM17" s="24"/>
      <c r="CN17" s="24"/>
      <c r="CO17" s="29"/>
      <c r="CP17" s="23"/>
      <c r="CQ17" s="27"/>
      <c r="CR17" s="23"/>
      <c r="CS17" s="24"/>
      <c r="CT17" s="24"/>
      <c r="CU17" s="24"/>
      <c r="CV17" s="29"/>
      <c r="CW17" s="23"/>
      <c r="CX17" s="27"/>
      <c r="CY17" s="23"/>
      <c r="CZ17" s="24"/>
      <c r="DA17" s="24"/>
      <c r="DB17" s="24"/>
      <c r="DC17" s="29"/>
      <c r="DD17" s="23"/>
      <c r="DE17" s="27"/>
      <c r="DF17" s="23"/>
      <c r="DG17" s="24"/>
      <c r="DH17" s="24"/>
      <c r="DI17" s="24"/>
      <c r="DJ17" s="29"/>
      <c r="DK17" s="23"/>
      <c r="DL17" s="27"/>
      <c r="DM17" s="23"/>
      <c r="DN17" s="24"/>
      <c r="DO17" s="24"/>
      <c r="DP17" s="24"/>
      <c r="DQ17" s="29"/>
      <c r="DR17" s="23"/>
      <c r="DS17" s="27"/>
      <c r="DT17" s="23"/>
      <c r="DU17" s="24"/>
      <c r="DV17" s="24"/>
      <c r="DW17" s="24"/>
      <c r="DX17" s="29"/>
      <c r="DY17" s="23"/>
      <c r="DZ17" s="27"/>
      <c r="EA17" s="23"/>
      <c r="EB17" s="24"/>
      <c r="EC17" s="24"/>
      <c r="ED17" s="24"/>
      <c r="EE17" s="29"/>
      <c r="EF17" s="23"/>
      <c r="EG17" s="27"/>
      <c r="EH17" s="23"/>
      <c r="EI17" s="24"/>
      <c r="EJ17" s="24"/>
      <c r="EK17" s="24"/>
      <c r="EL17" s="29"/>
      <c r="EM17" s="23"/>
      <c r="EN17" s="27"/>
      <c r="EO17" s="23"/>
      <c r="EP17" s="24"/>
      <c r="EQ17" s="24"/>
      <c r="ER17" s="24"/>
      <c r="ES17" s="29"/>
      <c r="ET17" s="23"/>
      <c r="EU17" s="27"/>
      <c r="EV17" s="23"/>
      <c r="EW17" s="24"/>
      <c r="EX17" s="24"/>
      <c r="EY17" s="24"/>
      <c r="EZ17" s="29"/>
      <c r="FA17" s="23"/>
      <c r="FB17" s="27"/>
      <c r="FC17" s="23"/>
      <c r="FD17" s="24"/>
      <c r="FE17" s="24"/>
      <c r="FF17" s="24"/>
      <c r="FG17" s="29"/>
      <c r="FH17" s="23"/>
      <c r="FI17" s="27"/>
      <c r="FJ17" s="23"/>
      <c r="FK17" s="24"/>
      <c r="FL17" s="24"/>
      <c r="FM17" s="24"/>
      <c r="FN17" s="29"/>
      <c r="FO17" s="23"/>
      <c r="FP17" s="27"/>
      <c r="FQ17" s="23"/>
      <c r="FR17" s="24"/>
      <c r="FS17" s="24"/>
      <c r="FT17" s="24"/>
      <c r="FU17" s="29"/>
      <c r="FV17" s="23"/>
      <c r="FW17" s="27"/>
      <c r="FX17" s="23"/>
      <c r="FY17" s="24"/>
      <c r="FZ17" s="24"/>
      <c r="GA17" s="24"/>
      <c r="GB17" s="29"/>
      <c r="GC17" s="23"/>
      <c r="GD17" s="27"/>
      <c r="GE17" s="23"/>
      <c r="GF17" s="24"/>
      <c r="GG17" s="24"/>
      <c r="GH17" s="24"/>
      <c r="GI17" s="29"/>
      <c r="GJ17" s="23"/>
      <c r="GK17" s="27"/>
      <c r="GL17" s="23"/>
      <c r="GM17" s="24"/>
      <c r="GN17" s="24"/>
      <c r="GO17" s="24"/>
      <c r="GP17" s="29"/>
      <c r="GQ17" s="23"/>
      <c r="GR17" s="27"/>
      <c r="GS17" s="23"/>
      <c r="GT17" s="24"/>
      <c r="GU17" s="24"/>
      <c r="GV17" s="24"/>
      <c r="GW17" s="29"/>
      <c r="GX17" s="23"/>
      <c r="GY17" s="27"/>
      <c r="GZ17" s="23"/>
      <c r="HA17" s="24"/>
      <c r="HB17" s="24"/>
      <c r="HC17" s="24"/>
      <c r="HD17" s="29"/>
      <c r="HE17" s="23"/>
      <c r="HF17" s="27"/>
      <c r="HG17" s="23"/>
      <c r="HH17" s="24"/>
      <c r="HI17" s="24"/>
      <c r="HJ17" s="24"/>
      <c r="HK17" s="29"/>
      <c r="HL17" s="23"/>
      <c r="HM17" s="27"/>
      <c r="HN17" s="23"/>
      <c r="HO17" s="24"/>
      <c r="HP17" s="24"/>
      <c r="HQ17" s="24"/>
      <c r="HR17" s="29"/>
      <c r="HS17" s="23"/>
      <c r="HT17" s="27"/>
      <c r="HU17" s="23"/>
      <c r="HV17" s="24"/>
      <c r="HW17" s="24"/>
      <c r="HX17" s="24"/>
      <c r="HY17" s="29"/>
      <c r="HZ17" s="23"/>
      <c r="IA17" s="27"/>
      <c r="IB17" s="23"/>
      <c r="IC17" s="24"/>
      <c r="ID17" s="24"/>
      <c r="IE17" s="24"/>
      <c r="IF17" s="29"/>
      <c r="IG17" s="23"/>
      <c r="IH17" s="27"/>
      <c r="II17" s="23"/>
      <c r="IJ17" s="24"/>
      <c r="IK17" s="24"/>
      <c r="IL17" s="24"/>
      <c r="IM17" s="29"/>
      <c r="IN17" s="23"/>
      <c r="IO17" s="27"/>
      <c r="IP17" s="23"/>
      <c r="IQ17" s="24"/>
      <c r="IR17" s="24"/>
      <c r="IS17" s="24"/>
      <c r="IT17" s="29"/>
      <c r="IU17" s="23"/>
    </row>
    <row r="18" spans="2:23" ht="15.75" customHeight="1">
      <c r="B18" s="18">
        <f>D7</f>
        <v>800</v>
      </c>
      <c r="C18" s="205"/>
      <c r="D18" s="18">
        <v>25</v>
      </c>
      <c r="E18" s="19">
        <f>100*D18/(100-D18)</f>
        <v>33.333333333333336</v>
      </c>
      <c r="F18" s="20">
        <f>(((D11*752)-(2.2562*248))/1000)/3.6</f>
        <v>3.688128444444444</v>
      </c>
      <c r="G18" s="21">
        <f>(((D10+(D10*$E$18/100))*$F$18/2500))*1000</f>
        <v>1097.5870250666667</v>
      </c>
      <c r="H18" s="21">
        <f>$D$7/(F18*I18)*100</f>
        <v>237.73803721005805</v>
      </c>
      <c r="I18" s="18">
        <v>91.24</v>
      </c>
      <c r="J18" s="21">
        <f aca="true" t="shared" si="0" ref="J18:J64">(H18*$D$13)/100</f>
        <v>1.1886901860502903</v>
      </c>
      <c r="L18" s="105" t="s">
        <v>47</v>
      </c>
      <c r="M18" s="109">
        <v>0.1</v>
      </c>
      <c r="N18" s="110"/>
      <c r="O18" s="111">
        <v>0</v>
      </c>
      <c r="P18" s="112">
        <f>93*1.1/(1.1^(1+O18))</f>
        <v>93</v>
      </c>
      <c r="Q18" s="110"/>
      <c r="R18" s="110"/>
      <c r="S18" s="105"/>
      <c r="T18" s="99" t="s">
        <v>40</v>
      </c>
      <c r="U18" s="101">
        <v>600</v>
      </c>
      <c r="V18" s="100"/>
      <c r="W18" s="99"/>
    </row>
    <row r="19" spans="2:23" ht="15" customHeight="1">
      <c r="B19" s="31">
        <f>(D7*F19)/F17</f>
        <v>683.0297124627507</v>
      </c>
      <c r="C19" s="205"/>
      <c r="D19" s="32">
        <v>30</v>
      </c>
      <c r="E19" s="19">
        <f aca="true" t="shared" si="1" ref="E19:E64">100*D19/(100-D19)</f>
        <v>42.857142857142854</v>
      </c>
      <c r="F19" s="33">
        <f>(((D11*699)-(2.2562*301))/1000)/3.6</f>
        <v>3.3840232777777772</v>
      </c>
      <c r="G19" s="21">
        <f>(((D10+(D10*$E$19/100))*$F$19/2500))*1000</f>
        <v>1079.0199937142854</v>
      </c>
      <c r="H19" s="21">
        <f>$D$7/(F19*I19)*100</f>
        <v>260.32925141324046</v>
      </c>
      <c r="I19" s="32">
        <v>90.81</v>
      </c>
      <c r="J19" s="21">
        <f t="shared" si="0"/>
        <v>1.3016462570662022</v>
      </c>
      <c r="L19" s="105" t="s">
        <v>48</v>
      </c>
      <c r="M19" s="109">
        <f>M18/(1-M18)</f>
        <v>0.11111111111111112</v>
      </c>
      <c r="N19" s="113"/>
      <c r="O19" s="111">
        <f>O18+5%</f>
        <v>0.05</v>
      </c>
      <c r="P19" s="112">
        <f>93*1.1/(1.1^(1+O19))</f>
        <v>92.55786200694892</v>
      </c>
      <c r="Q19" s="113"/>
      <c r="R19" s="30"/>
      <c r="S19" s="105"/>
      <c r="T19" s="99" t="s">
        <v>41</v>
      </c>
      <c r="U19" s="101">
        <v>800</v>
      </c>
      <c r="V19" s="100"/>
      <c r="W19" s="99"/>
    </row>
    <row r="20" spans="2:23" ht="15" customHeight="1">
      <c r="B20" s="31">
        <f>($D$7*F20)/F17</f>
        <v>625.1236295235184</v>
      </c>
      <c r="C20" s="205"/>
      <c r="D20" s="32">
        <v>35</v>
      </c>
      <c r="E20" s="19">
        <f t="shared" si="1"/>
        <v>53.84615384615385</v>
      </c>
      <c r="F20" s="33">
        <f>(((D11*649)-(2.2562*351))/1000)/3.6</f>
        <v>3.0971316111111107</v>
      </c>
      <c r="G20" s="21">
        <f>(((D10+(D10*$E$20/100))*$F$20/2500))*1000</f>
        <v>1063.507347076923</v>
      </c>
      <c r="H20" s="21">
        <f>$D$7/(F20*I20)*100</f>
        <v>285.82883805625545</v>
      </c>
      <c r="I20" s="32">
        <v>90.37</v>
      </c>
      <c r="J20" s="21">
        <f t="shared" si="0"/>
        <v>1.4291441902812771</v>
      </c>
      <c r="L20" s="105" t="s">
        <v>60</v>
      </c>
      <c r="M20" s="105"/>
      <c r="N20" s="105"/>
      <c r="O20" s="111">
        <f aca="true" t="shared" si="2" ref="O20:O27">O19+5%</f>
        <v>0.1</v>
      </c>
      <c r="P20" s="112">
        <f aca="true" t="shared" si="3" ref="P20:P28">93*1.1/(1.1^(1+O20))</f>
        <v>92.11782601395053</v>
      </c>
      <c r="Q20" s="30"/>
      <c r="R20" s="30"/>
      <c r="S20" s="105"/>
      <c r="T20" s="99" t="s">
        <v>42</v>
      </c>
      <c r="U20" s="101">
        <v>1000</v>
      </c>
      <c r="V20" s="100"/>
      <c r="W20" s="99"/>
    </row>
    <row r="21" spans="2:23" ht="15" customHeight="1">
      <c r="B21" s="31">
        <f>($D$7*F21)/F17</f>
        <v>567.2175465842863</v>
      </c>
      <c r="C21" s="205"/>
      <c r="D21" s="32">
        <v>40</v>
      </c>
      <c r="E21" s="19">
        <f>100*D21/(100-D21)</f>
        <v>66.66666666666667</v>
      </c>
      <c r="F21" s="33">
        <f>(((D11*599)-(2.2562*401))/1000)/3.6</f>
        <v>2.810239944444444</v>
      </c>
      <c r="G21" s="21">
        <f>(((D10+(D10*$E$21/100))*$F$21/2500))*1000</f>
        <v>1045.4092593333332</v>
      </c>
      <c r="H21" s="21">
        <f>$D$7/(F21*I21)*100</f>
        <v>316.5145661548134</v>
      </c>
      <c r="I21" s="32">
        <v>89.94</v>
      </c>
      <c r="J21" s="21">
        <f t="shared" si="0"/>
        <v>1.582572830774067</v>
      </c>
      <c r="L21" s="105"/>
      <c r="M21" s="105"/>
      <c r="N21" s="105"/>
      <c r="O21" s="111">
        <f t="shared" si="2"/>
        <v>0.15000000000000002</v>
      </c>
      <c r="P21" s="112">
        <f t="shared" si="3"/>
        <v>91.67988202773509</v>
      </c>
      <c r="Q21" s="30"/>
      <c r="R21" s="30"/>
      <c r="S21" s="105"/>
      <c r="T21" s="99"/>
      <c r="U21" s="99"/>
      <c r="V21" s="100"/>
      <c r="W21" s="99"/>
    </row>
    <row r="22" spans="2:23" ht="15.75" customHeight="1" thickBot="1">
      <c r="B22" s="34">
        <f>($D$7*F22)/$F$17</f>
        <v>509.3114636450539</v>
      </c>
      <c r="C22" s="206"/>
      <c r="D22" s="35">
        <v>45</v>
      </c>
      <c r="E22" s="34">
        <f t="shared" si="1"/>
        <v>81.81818181818181</v>
      </c>
      <c r="F22" s="36">
        <f>(((D11*549)-(2.2562*451))/1000)/3.6</f>
        <v>2.523348277777777</v>
      </c>
      <c r="G22" s="37">
        <f>(((D10+(D10*$E$22/100))*$F$22/2500))*1000</f>
        <v>1024.0206101818178</v>
      </c>
      <c r="H22" s="37">
        <f>$D$7/(F22*I22)*100</f>
        <v>355.8638157577639</v>
      </c>
      <c r="I22" s="35">
        <v>89.09</v>
      </c>
      <c r="J22" s="37">
        <f t="shared" si="0"/>
        <v>1.7793190787888196</v>
      </c>
      <c r="L22" s="105" t="s">
        <v>49</v>
      </c>
      <c r="M22" s="105">
        <f>1000/(1+M19)</f>
        <v>900</v>
      </c>
      <c r="N22" s="105"/>
      <c r="O22" s="111">
        <f t="shared" si="2"/>
        <v>0.2</v>
      </c>
      <c r="P22" s="112">
        <f t="shared" si="3"/>
        <v>91.24402010254258</v>
      </c>
      <c r="Q22" s="30"/>
      <c r="R22" s="30"/>
      <c r="S22" s="105"/>
      <c r="T22" s="99"/>
      <c r="U22" s="99"/>
      <c r="V22" s="100"/>
      <c r="W22" s="99"/>
    </row>
    <row r="23" spans="2:23" ht="15.75" customHeight="1" thickTop="1">
      <c r="B23" s="18">
        <f>0.9*$D$7</f>
        <v>720</v>
      </c>
      <c r="C23" s="207">
        <v>90</v>
      </c>
      <c r="D23" s="18">
        <v>20</v>
      </c>
      <c r="E23" s="19">
        <f t="shared" si="1"/>
        <v>25</v>
      </c>
      <c r="F23" s="20">
        <f aca="true" t="shared" si="4" ref="F23:G28">F17</f>
        <v>3.963544444444444</v>
      </c>
      <c r="G23" s="21">
        <f t="shared" si="4"/>
        <v>1105.8289</v>
      </c>
      <c r="H23" s="21">
        <f>H17*0.9</f>
        <v>197.451727013968</v>
      </c>
      <c r="I23" s="21">
        <f>I17</f>
        <v>92</v>
      </c>
      <c r="J23" s="21">
        <f t="shared" si="0"/>
        <v>0.98725863506984</v>
      </c>
      <c r="L23" s="105"/>
      <c r="M23" s="105"/>
      <c r="N23" s="105"/>
      <c r="O23" s="111">
        <f t="shared" si="2"/>
        <v>0.25</v>
      </c>
      <c r="P23" s="112">
        <f t="shared" si="3"/>
        <v>90.81023033989688</v>
      </c>
      <c r="Q23" s="30"/>
      <c r="R23" s="30"/>
      <c r="S23" s="99"/>
      <c r="T23" s="99"/>
      <c r="U23" s="99"/>
      <c r="V23" s="100"/>
      <c r="W23" s="99"/>
    </row>
    <row r="24" spans="2:23" ht="15.75" customHeight="1">
      <c r="B24" s="18">
        <f>0.9*$D$7</f>
        <v>720</v>
      </c>
      <c r="C24" s="208"/>
      <c r="D24" s="18">
        <v>25</v>
      </c>
      <c r="E24" s="19">
        <f t="shared" si="1"/>
        <v>33.333333333333336</v>
      </c>
      <c r="F24" s="33">
        <f t="shared" si="4"/>
        <v>3.688128444444444</v>
      </c>
      <c r="G24" s="21">
        <f t="shared" si="4"/>
        <v>1097.5870250666667</v>
      </c>
      <c r="H24" s="21">
        <f>H18*0.9</f>
        <v>213.96423348905225</v>
      </c>
      <c r="I24" s="18">
        <v>91.24</v>
      </c>
      <c r="J24" s="21">
        <f t="shared" si="0"/>
        <v>1.0698211674452613</v>
      </c>
      <c r="L24" s="105" t="s">
        <v>50</v>
      </c>
      <c r="M24" s="105">
        <f>1000*(1-1/(1+M19))</f>
        <v>100.00000000000009</v>
      </c>
      <c r="N24" s="105"/>
      <c r="O24" s="111">
        <f t="shared" si="2"/>
        <v>0.3</v>
      </c>
      <c r="P24" s="112">
        <f t="shared" si="3"/>
        <v>90.37850288838088</v>
      </c>
      <c r="Q24" s="30"/>
      <c r="R24" s="30"/>
      <c r="S24" s="99"/>
      <c r="T24" s="99"/>
      <c r="U24" s="99"/>
      <c r="V24" s="100"/>
      <c r="W24" s="99"/>
    </row>
    <row r="25" spans="2:23" ht="15" customHeight="1">
      <c r="B25" s="31">
        <f>$B$19*0.9</f>
        <v>614.7267412164756</v>
      </c>
      <c r="C25" s="208"/>
      <c r="D25" s="32">
        <v>30</v>
      </c>
      <c r="E25" s="19">
        <f t="shared" si="1"/>
        <v>42.857142857142854</v>
      </c>
      <c r="F25" s="33">
        <f t="shared" si="4"/>
        <v>3.3840232777777772</v>
      </c>
      <c r="G25" s="38">
        <f t="shared" si="4"/>
        <v>1079.0199937142854</v>
      </c>
      <c r="H25" s="21">
        <f>H19*0.9</f>
        <v>234.29632627191643</v>
      </c>
      <c r="I25" s="32">
        <v>90.81</v>
      </c>
      <c r="J25" s="21">
        <f t="shared" si="0"/>
        <v>1.1714816313595822</v>
      </c>
      <c r="L25" s="105" t="s">
        <v>51</v>
      </c>
      <c r="M25" s="105">
        <f>18.8*M22/1000</f>
        <v>16.92</v>
      </c>
      <c r="N25" s="105"/>
      <c r="O25" s="111">
        <f t="shared" si="2"/>
        <v>0.35</v>
      </c>
      <c r="P25" s="112">
        <f t="shared" si="3"/>
        <v>89.94882794341282</v>
      </c>
      <c r="Q25" s="30"/>
      <c r="R25" s="30"/>
      <c r="S25" s="99"/>
      <c r="T25" s="99"/>
      <c r="U25" s="99"/>
      <c r="V25" s="100"/>
      <c r="W25" s="99"/>
    </row>
    <row r="26" spans="2:23" ht="15" customHeight="1">
      <c r="B26" s="31">
        <f>B20*0.9</f>
        <v>562.6112665711665</v>
      </c>
      <c r="C26" s="208"/>
      <c r="D26" s="32">
        <v>35</v>
      </c>
      <c r="E26" s="19">
        <f t="shared" si="1"/>
        <v>53.84615384615385</v>
      </c>
      <c r="F26" s="33">
        <f t="shared" si="4"/>
        <v>3.0971316111111107</v>
      </c>
      <c r="G26" s="38">
        <f t="shared" si="4"/>
        <v>1063.507347076923</v>
      </c>
      <c r="H26" s="21">
        <f>H20*0.9</f>
        <v>257.2459542506299</v>
      </c>
      <c r="I26" s="32">
        <v>90.37</v>
      </c>
      <c r="J26" s="21">
        <f t="shared" si="0"/>
        <v>1.2862297712531494</v>
      </c>
      <c r="L26" s="105" t="s">
        <v>52</v>
      </c>
      <c r="M26" s="114">
        <f>(M25*1000-2.2562*M25)/1000</f>
        <v>16.881825096</v>
      </c>
      <c r="N26" s="114"/>
      <c r="O26" s="111">
        <f t="shared" si="2"/>
        <v>0.39999999999999997</v>
      </c>
      <c r="P26" s="112">
        <f t="shared" si="3"/>
        <v>89.52119574702361</v>
      </c>
      <c r="Q26" s="30"/>
      <c r="R26" s="30"/>
      <c r="S26" s="99"/>
      <c r="T26" s="99"/>
      <c r="U26" s="99"/>
      <c r="V26" s="100"/>
      <c r="W26" s="99"/>
    </row>
    <row r="27" spans="2:23" ht="15" customHeight="1">
      <c r="B27" s="31">
        <f>$B$21*0.9</f>
        <v>510.4957919258577</v>
      </c>
      <c r="C27" s="208"/>
      <c r="D27" s="32">
        <v>40</v>
      </c>
      <c r="E27" s="19">
        <f t="shared" si="1"/>
        <v>66.66666666666667</v>
      </c>
      <c r="F27" s="33">
        <f t="shared" si="4"/>
        <v>2.810239944444444</v>
      </c>
      <c r="G27" s="38">
        <f t="shared" si="4"/>
        <v>1045.4092593333332</v>
      </c>
      <c r="H27" s="21">
        <f>H21*0.9</f>
        <v>284.8631095393321</v>
      </c>
      <c r="I27" s="32">
        <v>89.94</v>
      </c>
      <c r="J27" s="21">
        <f t="shared" si="0"/>
        <v>1.4243155476966605</v>
      </c>
      <c r="L27" s="105" t="s">
        <v>53</v>
      </c>
      <c r="M27" s="114">
        <f>M26*0.278</f>
        <v>4.6931473766880005</v>
      </c>
      <c r="N27" s="114"/>
      <c r="O27" s="111">
        <f t="shared" si="2"/>
        <v>0.44999999999999996</v>
      </c>
      <c r="P27" s="112">
        <f t="shared" si="3"/>
        <v>89.0955965876352</v>
      </c>
      <c r="Q27" s="30"/>
      <c r="R27" s="30"/>
      <c r="S27" s="99"/>
      <c r="T27" s="99"/>
      <c r="U27" s="99"/>
      <c r="V27" s="100"/>
      <c r="W27" s="99"/>
    </row>
    <row r="28" spans="2:23" ht="15.75" customHeight="1" thickBot="1">
      <c r="B28" s="34">
        <f>B22*0.9</f>
        <v>458.3803172805485</v>
      </c>
      <c r="C28" s="209"/>
      <c r="D28" s="35">
        <v>45</v>
      </c>
      <c r="E28" s="34">
        <f t="shared" si="1"/>
        <v>81.81818181818181</v>
      </c>
      <c r="F28" s="36">
        <f t="shared" si="4"/>
        <v>2.523348277777777</v>
      </c>
      <c r="G28" s="37">
        <f t="shared" si="4"/>
        <v>1024.0206101818178</v>
      </c>
      <c r="H28" s="37">
        <f>H22*0.9</f>
        <v>320.27743418198753</v>
      </c>
      <c r="I28" s="35">
        <v>89.09</v>
      </c>
      <c r="J28" s="37">
        <f t="shared" si="0"/>
        <v>1.6013871709099377</v>
      </c>
      <c r="L28" s="105"/>
      <c r="M28" s="105"/>
      <c r="N28" s="105"/>
      <c r="O28" s="111">
        <v>0.45</v>
      </c>
      <c r="P28" s="112">
        <f t="shared" si="3"/>
        <v>89.0955965876352</v>
      </c>
      <c r="Q28" s="30"/>
      <c r="R28" s="30"/>
      <c r="S28" s="99"/>
      <c r="T28" s="99"/>
      <c r="U28" s="99"/>
      <c r="V28" s="100"/>
      <c r="W28" s="99"/>
    </row>
    <row r="29" spans="2:18" ht="15.75" customHeight="1" thickTop="1">
      <c r="B29" s="18">
        <f>0.8*$D$7</f>
        <v>640</v>
      </c>
      <c r="C29" s="207">
        <v>80</v>
      </c>
      <c r="D29" s="18">
        <v>20</v>
      </c>
      <c r="E29" s="19">
        <f t="shared" si="1"/>
        <v>25</v>
      </c>
      <c r="F29" s="20">
        <f>F17</f>
        <v>3.963544444444444</v>
      </c>
      <c r="G29" s="21">
        <f aca="true" t="shared" si="5" ref="G29:G64">G23</f>
        <v>1105.8289</v>
      </c>
      <c r="H29" s="21">
        <f>H17*0.8</f>
        <v>175.51264623463823</v>
      </c>
      <c r="I29" s="21">
        <f>I17</f>
        <v>92</v>
      </c>
      <c r="J29" s="21">
        <f t="shared" si="0"/>
        <v>0.8775632311731911</v>
      </c>
      <c r="L29" s="30"/>
      <c r="M29" s="30"/>
      <c r="N29" s="30"/>
      <c r="O29" s="39"/>
      <c r="P29" s="30"/>
      <c r="Q29" s="30"/>
      <c r="R29" s="30"/>
    </row>
    <row r="30" spans="2:18" ht="15.75" customHeight="1">
      <c r="B30" s="18">
        <f>0.8*$D$7</f>
        <v>640</v>
      </c>
      <c r="C30" s="208"/>
      <c r="D30" s="18">
        <v>25</v>
      </c>
      <c r="E30" s="19">
        <f t="shared" si="1"/>
        <v>33.333333333333336</v>
      </c>
      <c r="F30" s="20">
        <f>F18</f>
        <v>3.688128444444444</v>
      </c>
      <c r="G30" s="21">
        <f t="shared" si="5"/>
        <v>1097.5870250666667</v>
      </c>
      <c r="H30" s="21">
        <f>H18*0.8</f>
        <v>190.19042976804644</v>
      </c>
      <c r="I30" s="18">
        <v>91.24</v>
      </c>
      <c r="J30" s="21">
        <f t="shared" si="0"/>
        <v>0.9509521488402322</v>
      </c>
      <c r="L30" s="30"/>
      <c r="M30" s="30"/>
      <c r="N30" s="30"/>
      <c r="O30" s="30"/>
      <c r="P30" s="30"/>
      <c r="Q30" s="30"/>
      <c r="R30" s="30"/>
    </row>
    <row r="31" spans="2:26" ht="15" customHeight="1">
      <c r="B31" s="31">
        <f>B19*0.8</f>
        <v>546.4237699702006</v>
      </c>
      <c r="C31" s="208"/>
      <c r="D31" s="32">
        <v>30</v>
      </c>
      <c r="E31" s="19">
        <f t="shared" si="1"/>
        <v>42.857142857142854</v>
      </c>
      <c r="F31" s="33">
        <f>F19</f>
        <v>3.3840232777777772</v>
      </c>
      <c r="G31" s="38">
        <f t="shared" si="5"/>
        <v>1079.0199937142854</v>
      </c>
      <c r="H31" s="21">
        <f>H19*0.8</f>
        <v>208.26340113059237</v>
      </c>
      <c r="I31" s="32">
        <v>90.81</v>
      </c>
      <c r="J31" s="21">
        <f t="shared" si="0"/>
        <v>1.041317005652962</v>
      </c>
      <c r="L31" s="30"/>
      <c r="M31" s="109"/>
      <c r="N31" s="110"/>
      <c r="O31" s="110"/>
      <c r="P31" s="110"/>
      <c r="Q31" s="110"/>
      <c r="R31" s="105"/>
      <c r="S31" s="99"/>
      <c r="T31" s="99"/>
      <c r="U31" s="99"/>
      <c r="V31" s="100"/>
      <c r="W31" s="99"/>
      <c r="X31" s="99"/>
      <c r="Y31" s="99"/>
      <c r="Z31" s="99"/>
    </row>
    <row r="32" spans="2:26" ht="15" customHeight="1">
      <c r="B32" s="31">
        <f>B26*0.8</f>
        <v>450.08901325693324</v>
      </c>
      <c r="C32" s="208"/>
      <c r="D32" s="32">
        <v>35</v>
      </c>
      <c r="E32" s="19">
        <f t="shared" si="1"/>
        <v>53.84615384615385</v>
      </c>
      <c r="F32" s="33">
        <f>F26</f>
        <v>3.0971316111111107</v>
      </c>
      <c r="G32" s="38">
        <f t="shared" si="5"/>
        <v>1063.507347076923</v>
      </c>
      <c r="H32" s="21">
        <f>H20*0.8</f>
        <v>228.66307044500437</v>
      </c>
      <c r="I32" s="32">
        <v>90.37</v>
      </c>
      <c r="J32" s="21">
        <f t="shared" si="0"/>
        <v>1.143315352225022</v>
      </c>
      <c r="L32" s="30"/>
      <c r="M32" s="109"/>
      <c r="N32" s="113"/>
      <c r="P32" s="99"/>
      <c r="Q32" s="113"/>
      <c r="R32" s="105"/>
      <c r="S32" s="99"/>
      <c r="T32" s="99"/>
      <c r="U32" s="99"/>
      <c r="V32" s="100"/>
      <c r="W32" s="99"/>
      <c r="X32" s="99"/>
      <c r="Y32" s="99"/>
      <c r="Z32" s="99"/>
    </row>
    <row r="33" spans="2:26" ht="15" customHeight="1">
      <c r="B33" s="31">
        <f>B21*0.8</f>
        <v>453.7740372674291</v>
      </c>
      <c r="C33" s="208"/>
      <c r="D33" s="32">
        <v>40</v>
      </c>
      <c r="E33" s="19">
        <f t="shared" si="1"/>
        <v>66.66666666666667</v>
      </c>
      <c r="F33" s="33">
        <f>F27</f>
        <v>2.810239944444444</v>
      </c>
      <c r="G33" s="38">
        <f t="shared" si="5"/>
        <v>1045.4092593333332</v>
      </c>
      <c r="H33" s="21">
        <f>H21*0.8</f>
        <v>253.21165292385072</v>
      </c>
      <c r="I33" s="32">
        <v>89.94</v>
      </c>
      <c r="J33" s="21">
        <f t="shared" si="0"/>
        <v>1.2660582646192535</v>
      </c>
      <c r="L33" s="30"/>
      <c r="M33" s="30"/>
      <c r="N33" s="30"/>
      <c r="P33" s="99"/>
      <c r="Q33" s="105"/>
      <c r="R33" s="105"/>
      <c r="S33" s="99"/>
      <c r="T33" s="99" t="s">
        <v>18</v>
      </c>
      <c r="U33" s="99"/>
      <c r="V33" s="100"/>
      <c r="W33" s="99"/>
      <c r="X33" s="99"/>
      <c r="Y33" s="99"/>
      <c r="Z33" s="99"/>
    </row>
    <row r="34" spans="2:26" ht="15.75" customHeight="1" thickBot="1">
      <c r="B34" s="34">
        <f>B22*0.8</f>
        <v>407.44917091604316</v>
      </c>
      <c r="C34" s="209"/>
      <c r="D34" s="35">
        <v>45</v>
      </c>
      <c r="E34" s="34">
        <f t="shared" si="1"/>
        <v>81.81818181818181</v>
      </c>
      <c r="F34" s="36">
        <f>F28</f>
        <v>2.523348277777777</v>
      </c>
      <c r="G34" s="37">
        <f t="shared" si="5"/>
        <v>1024.0206101818178</v>
      </c>
      <c r="H34" s="37">
        <f>H22*0.8</f>
        <v>284.69105260621114</v>
      </c>
      <c r="I34" s="35">
        <v>89.09</v>
      </c>
      <c r="J34" s="37">
        <f t="shared" si="0"/>
        <v>1.4234552630310557</v>
      </c>
      <c r="L34" s="30"/>
      <c r="M34" s="30"/>
      <c r="P34" s="99"/>
      <c r="Q34" s="105"/>
      <c r="R34" s="105"/>
      <c r="S34" s="99"/>
      <c r="T34" s="99"/>
      <c r="U34" s="115" t="s">
        <v>55</v>
      </c>
      <c r="V34" s="115" t="s">
        <v>57</v>
      </c>
      <c r="W34" s="115" t="s">
        <v>56</v>
      </c>
      <c r="X34" s="99"/>
      <c r="Y34" s="116" t="s">
        <v>61</v>
      </c>
      <c r="Z34" s="99"/>
    </row>
    <row r="35" spans="2:26" ht="15.75" customHeight="1" thickTop="1">
      <c r="B35" s="18">
        <f>0.7*$D$7</f>
        <v>560</v>
      </c>
      <c r="C35" s="207">
        <v>70</v>
      </c>
      <c r="D35" s="18">
        <v>20</v>
      </c>
      <c r="E35" s="19">
        <f t="shared" si="1"/>
        <v>25</v>
      </c>
      <c r="F35" s="20">
        <f>F17</f>
        <v>3.963544444444444</v>
      </c>
      <c r="G35" s="21">
        <f t="shared" si="5"/>
        <v>1105.8289</v>
      </c>
      <c r="H35" s="21">
        <f>H17*0.7</f>
        <v>153.57356545530843</v>
      </c>
      <c r="I35" s="21">
        <f>I17</f>
        <v>92</v>
      </c>
      <c r="J35" s="21">
        <f t="shared" si="0"/>
        <v>0.7678678272765421</v>
      </c>
      <c r="L35" s="30"/>
      <c r="M35" s="30"/>
      <c r="P35" s="99"/>
      <c r="Q35" s="105"/>
      <c r="R35" s="105"/>
      <c r="S35" s="99"/>
      <c r="T35" s="99"/>
      <c r="U35" s="115"/>
      <c r="V35" s="115"/>
      <c r="W35" s="115"/>
      <c r="X35" s="99"/>
      <c r="Y35" s="116"/>
      <c r="Z35" s="99"/>
    </row>
    <row r="36" spans="2:26" ht="15.75" customHeight="1">
      <c r="B36" s="18">
        <f>0.7*$D$7</f>
        <v>560</v>
      </c>
      <c r="C36" s="208"/>
      <c r="D36" s="18">
        <v>25</v>
      </c>
      <c r="E36" s="19">
        <f t="shared" si="1"/>
        <v>33.333333333333336</v>
      </c>
      <c r="F36" s="20">
        <f>F18</f>
        <v>3.688128444444444</v>
      </c>
      <c r="G36" s="21">
        <f t="shared" si="5"/>
        <v>1097.5870250666667</v>
      </c>
      <c r="H36" s="21">
        <f>H18*0.7</f>
        <v>166.41662604704064</v>
      </c>
      <c r="I36" s="18">
        <v>91.24</v>
      </c>
      <c r="J36" s="21">
        <f t="shared" si="0"/>
        <v>0.8320831302352032</v>
      </c>
      <c r="L36" s="30"/>
      <c r="M36" s="30"/>
      <c r="P36" s="99"/>
      <c r="Q36" s="105"/>
      <c r="R36" s="105"/>
      <c r="S36" s="99"/>
      <c r="T36" s="99" t="s">
        <v>121</v>
      </c>
      <c r="U36" s="99">
        <v>18.8</v>
      </c>
      <c r="V36" s="100">
        <v>1426</v>
      </c>
      <c r="W36" s="117">
        <v>0.6</v>
      </c>
      <c r="X36" s="99"/>
      <c r="Y36" s="118">
        <v>379</v>
      </c>
      <c r="Z36" s="99"/>
    </row>
    <row r="37" spans="2:26" ht="15" customHeight="1">
      <c r="B37" s="31">
        <f>B19*0.7</f>
        <v>478.1207987239255</v>
      </c>
      <c r="C37" s="208"/>
      <c r="D37" s="32">
        <v>30</v>
      </c>
      <c r="E37" s="19">
        <f t="shared" si="1"/>
        <v>42.857142857142854</v>
      </c>
      <c r="F37" s="33">
        <f>F31</f>
        <v>3.3840232777777772</v>
      </c>
      <c r="G37" s="38">
        <f t="shared" si="5"/>
        <v>1079.0199937142854</v>
      </c>
      <c r="H37" s="21">
        <f>H19*0.7</f>
        <v>182.2304759892683</v>
      </c>
      <c r="I37" s="32">
        <v>90.81</v>
      </c>
      <c r="J37" s="21">
        <f t="shared" si="0"/>
        <v>0.9111523799463416</v>
      </c>
      <c r="L37" s="30"/>
      <c r="M37" s="30"/>
      <c r="P37" s="99"/>
      <c r="Q37" s="105"/>
      <c r="R37" s="105"/>
      <c r="S37" s="99"/>
      <c r="T37" s="99" t="s">
        <v>122</v>
      </c>
      <c r="U37" s="99">
        <v>18.4</v>
      </c>
      <c r="V37" s="100">
        <v>1426</v>
      </c>
      <c r="W37" s="117">
        <v>0.5</v>
      </c>
      <c r="X37" s="99"/>
      <c r="Y37" s="118">
        <v>558</v>
      </c>
      <c r="Z37" s="99"/>
    </row>
    <row r="38" spans="2:26" ht="15" customHeight="1">
      <c r="B38" s="31">
        <f>B20*0.7</f>
        <v>437.58654066646284</v>
      </c>
      <c r="C38" s="208"/>
      <c r="D38" s="32">
        <v>35</v>
      </c>
      <c r="E38" s="19">
        <f t="shared" si="1"/>
        <v>53.84615384615385</v>
      </c>
      <c r="F38" s="33">
        <f>F32</f>
        <v>3.0971316111111107</v>
      </c>
      <c r="G38" s="38">
        <f t="shared" si="5"/>
        <v>1063.507347076923</v>
      </c>
      <c r="H38" s="21">
        <f>H20*0.7</f>
        <v>200.0801866393788</v>
      </c>
      <c r="I38" s="32">
        <v>90.37</v>
      </c>
      <c r="J38" s="21">
        <f t="shared" si="0"/>
        <v>1.000400933196894</v>
      </c>
      <c r="L38" s="30"/>
      <c r="M38" s="30"/>
      <c r="P38" s="99"/>
      <c r="Q38" s="105"/>
      <c r="R38" s="105"/>
      <c r="S38" s="99"/>
      <c r="T38" s="99" t="s">
        <v>123</v>
      </c>
      <c r="U38" s="99">
        <v>18.5</v>
      </c>
      <c r="V38" s="100">
        <v>1335</v>
      </c>
      <c r="W38" s="117">
        <v>1.8</v>
      </c>
      <c r="X38" s="99"/>
      <c r="Y38" s="119">
        <v>430</v>
      </c>
      <c r="Z38" s="99"/>
    </row>
    <row r="39" spans="2:26" ht="15" customHeight="1">
      <c r="B39" s="31">
        <f>B21*0.7</f>
        <v>397.0522826090004</v>
      </c>
      <c r="C39" s="208"/>
      <c r="D39" s="32">
        <v>40</v>
      </c>
      <c r="E39" s="19">
        <f t="shared" si="1"/>
        <v>66.66666666666667</v>
      </c>
      <c r="F39" s="33">
        <f>F33</f>
        <v>2.810239944444444</v>
      </c>
      <c r="G39" s="38">
        <f t="shared" si="5"/>
        <v>1045.4092593333332</v>
      </c>
      <c r="H39" s="21">
        <f>H21*0.7</f>
        <v>221.56019630836937</v>
      </c>
      <c r="I39" s="32">
        <v>89.94</v>
      </c>
      <c r="J39" s="21">
        <f t="shared" si="0"/>
        <v>1.1078009815418468</v>
      </c>
      <c r="L39" s="30"/>
      <c r="M39" s="39"/>
      <c r="P39" s="99"/>
      <c r="Q39" s="105"/>
      <c r="R39" s="105"/>
      <c r="S39" s="99"/>
      <c r="T39" s="99" t="s">
        <v>124</v>
      </c>
      <c r="U39" s="99">
        <v>18.4</v>
      </c>
      <c r="V39" s="100">
        <v>1283</v>
      </c>
      <c r="W39" s="117">
        <v>2</v>
      </c>
      <c r="X39" s="99"/>
      <c r="Y39" s="119">
        <v>560</v>
      </c>
      <c r="Z39" s="99"/>
    </row>
    <row r="40" spans="2:26" ht="15.75" customHeight="1" thickBot="1">
      <c r="B40" s="34">
        <f>B22*0.7</f>
        <v>356.5180245515377</v>
      </c>
      <c r="C40" s="209"/>
      <c r="D40" s="35">
        <v>45</v>
      </c>
      <c r="E40" s="34">
        <f t="shared" si="1"/>
        <v>81.81818181818181</v>
      </c>
      <c r="F40" s="36">
        <f>F34</f>
        <v>2.523348277777777</v>
      </c>
      <c r="G40" s="37">
        <f t="shared" si="5"/>
        <v>1024.0206101818178</v>
      </c>
      <c r="H40" s="37">
        <f>H22*0.7</f>
        <v>249.10467103043473</v>
      </c>
      <c r="I40" s="35">
        <v>89.09</v>
      </c>
      <c r="J40" s="37">
        <f t="shared" si="0"/>
        <v>1.2455233551521736</v>
      </c>
      <c r="L40" s="30"/>
      <c r="M40" s="39"/>
      <c r="P40" s="99"/>
      <c r="Q40" s="105"/>
      <c r="R40" s="105"/>
      <c r="S40" s="99"/>
      <c r="T40" s="99"/>
      <c r="U40" s="99"/>
      <c r="V40" s="100"/>
      <c r="W40" s="99"/>
      <c r="X40" s="99"/>
      <c r="Y40" s="119"/>
      <c r="Z40" s="99"/>
    </row>
    <row r="41" spans="2:26" ht="15.75" customHeight="1" thickTop="1">
      <c r="B41" s="18">
        <f>0.6*$D$7</f>
        <v>480</v>
      </c>
      <c r="C41" s="207">
        <v>60</v>
      </c>
      <c r="D41" s="18">
        <v>20</v>
      </c>
      <c r="E41" s="19">
        <f t="shared" si="1"/>
        <v>25</v>
      </c>
      <c r="F41" s="20">
        <f>F17</f>
        <v>3.963544444444444</v>
      </c>
      <c r="G41" s="21">
        <f t="shared" si="5"/>
        <v>1105.8289</v>
      </c>
      <c r="H41" s="21">
        <f>H17*0.6</f>
        <v>131.63448467597865</v>
      </c>
      <c r="I41" s="21">
        <f>I23</f>
        <v>92</v>
      </c>
      <c r="J41" s="21">
        <f t="shared" si="0"/>
        <v>0.6581724233798932</v>
      </c>
      <c r="L41" s="30"/>
      <c r="M41" s="39"/>
      <c r="P41" s="99"/>
      <c r="Q41" s="105"/>
      <c r="R41" s="105"/>
      <c r="S41" s="99"/>
      <c r="T41" s="99"/>
      <c r="U41" s="117"/>
      <c r="V41" s="100"/>
      <c r="W41" s="117"/>
      <c r="X41" s="99"/>
      <c r="Y41" s="119"/>
      <c r="Z41" s="99"/>
    </row>
    <row r="42" spans="2:26" ht="15.75" customHeight="1">
      <c r="B42" s="18">
        <f>0.6*$D$7</f>
        <v>480</v>
      </c>
      <c r="C42" s="208"/>
      <c r="D42" s="18">
        <v>25</v>
      </c>
      <c r="E42" s="19">
        <f t="shared" si="1"/>
        <v>33.333333333333336</v>
      </c>
      <c r="F42" s="20">
        <f>F18</f>
        <v>3.688128444444444</v>
      </c>
      <c r="G42" s="21">
        <f t="shared" si="5"/>
        <v>1097.5870250666667</v>
      </c>
      <c r="H42" s="21">
        <f>H18*0.6</f>
        <v>142.64282232603483</v>
      </c>
      <c r="I42" s="18">
        <v>91.24</v>
      </c>
      <c r="J42" s="21">
        <f t="shared" si="0"/>
        <v>0.7132141116301741</v>
      </c>
      <c r="L42" s="30"/>
      <c r="M42" s="30"/>
      <c r="P42" s="99"/>
      <c r="Q42" s="105"/>
      <c r="R42" s="105"/>
      <c r="S42" s="99"/>
      <c r="T42" s="99"/>
      <c r="U42" s="99"/>
      <c r="V42" s="99"/>
      <c r="W42" s="99"/>
      <c r="X42" s="99"/>
      <c r="Y42" s="99"/>
      <c r="Z42" s="99"/>
    </row>
    <row r="43" spans="2:26" ht="15" customHeight="1">
      <c r="B43" s="31">
        <f>B19*0.6</f>
        <v>409.8178274776504</v>
      </c>
      <c r="C43" s="208"/>
      <c r="D43" s="32">
        <v>30</v>
      </c>
      <c r="E43" s="19">
        <f t="shared" si="1"/>
        <v>42.857142857142854</v>
      </c>
      <c r="F43" s="33">
        <f>F37</f>
        <v>3.3840232777777772</v>
      </c>
      <c r="G43" s="38">
        <f t="shared" si="5"/>
        <v>1079.0199937142854</v>
      </c>
      <c r="H43" s="21">
        <f>H19*0.6</f>
        <v>156.19755084794426</v>
      </c>
      <c r="I43" s="32">
        <v>90.81</v>
      </c>
      <c r="J43" s="21">
        <f t="shared" si="0"/>
        <v>0.7809877542397213</v>
      </c>
      <c r="L43" s="30"/>
      <c r="M43" s="30"/>
      <c r="O43" s="30"/>
      <c r="P43" s="105"/>
      <c r="Q43" s="105"/>
      <c r="R43" s="105"/>
      <c r="S43" s="99"/>
      <c r="T43" s="99"/>
      <c r="U43" s="99"/>
      <c r="V43" s="100"/>
      <c r="W43" s="99"/>
      <c r="X43" s="99"/>
      <c r="Y43" s="99"/>
      <c r="Z43" s="99"/>
    </row>
    <row r="44" spans="2:26" ht="15" customHeight="1">
      <c r="B44" s="31">
        <f>B20*0.6</f>
        <v>375.07417771411104</v>
      </c>
      <c r="C44" s="208"/>
      <c r="D44" s="32">
        <v>35</v>
      </c>
      <c r="E44" s="19">
        <f t="shared" si="1"/>
        <v>53.84615384615385</v>
      </c>
      <c r="F44" s="33">
        <f>F38</f>
        <v>3.0971316111111107</v>
      </c>
      <c r="G44" s="38">
        <f t="shared" si="5"/>
        <v>1063.507347076923</v>
      </c>
      <c r="H44" s="21">
        <f>H20*0.6</f>
        <v>171.49730283375325</v>
      </c>
      <c r="I44" s="32">
        <v>90.37</v>
      </c>
      <c r="J44" s="21">
        <f t="shared" si="0"/>
        <v>0.8574865141687663</v>
      </c>
      <c r="L44" s="30"/>
      <c r="M44" s="109"/>
      <c r="N44" s="110"/>
      <c r="O44" s="110"/>
      <c r="P44" s="110"/>
      <c r="Q44" s="110"/>
      <c r="R44" s="105"/>
      <c r="S44" s="99"/>
      <c r="T44" s="99"/>
      <c r="U44" s="99"/>
      <c r="V44" s="100"/>
      <c r="W44" s="99"/>
      <c r="X44" s="99"/>
      <c r="Y44" s="99"/>
      <c r="Z44" s="99"/>
    </row>
    <row r="45" spans="2:26" ht="15" customHeight="1">
      <c r="B45" s="31">
        <f>B21*0.6</f>
        <v>340.33052795057176</v>
      </c>
      <c r="C45" s="208"/>
      <c r="D45" s="32">
        <v>40</v>
      </c>
      <c r="E45" s="19">
        <f t="shared" si="1"/>
        <v>66.66666666666667</v>
      </c>
      <c r="F45" s="33">
        <f>F39</f>
        <v>2.810239944444444</v>
      </c>
      <c r="G45" s="38">
        <f t="shared" si="5"/>
        <v>1045.4092593333332</v>
      </c>
      <c r="H45" s="21">
        <f>H21*0.6</f>
        <v>189.90873969288802</v>
      </c>
      <c r="I45" s="32">
        <v>89.94</v>
      </c>
      <c r="J45" s="21">
        <f t="shared" si="0"/>
        <v>0.9495436984644401</v>
      </c>
      <c r="P45" s="99"/>
      <c r="Q45" s="99"/>
      <c r="R45" s="99"/>
      <c r="S45" s="99"/>
      <c r="T45" s="99"/>
      <c r="U45" s="99"/>
      <c r="V45" s="100"/>
      <c r="W45" s="99"/>
      <c r="X45" s="99"/>
      <c r="Y45" s="99"/>
      <c r="Z45" s="99"/>
    </row>
    <row r="46" spans="2:26" ht="15.75" customHeight="1" thickBot="1">
      <c r="B46" s="34">
        <f>B22*0.6</f>
        <v>305.5868781870323</v>
      </c>
      <c r="C46" s="209"/>
      <c r="D46" s="35">
        <v>45</v>
      </c>
      <c r="E46" s="34">
        <f t="shared" si="1"/>
        <v>81.81818181818181</v>
      </c>
      <c r="F46" s="36">
        <f>F40</f>
        <v>2.523348277777777</v>
      </c>
      <c r="G46" s="37">
        <f t="shared" si="5"/>
        <v>1024.0206101818178</v>
      </c>
      <c r="H46" s="37">
        <f>H22*0.6</f>
        <v>213.51828945465834</v>
      </c>
      <c r="I46" s="35">
        <v>89.09</v>
      </c>
      <c r="J46" s="37">
        <f t="shared" si="0"/>
        <v>1.0675914472732917</v>
      </c>
      <c r="P46" s="99"/>
      <c r="Q46" s="99"/>
      <c r="R46" s="99"/>
      <c r="S46" s="99"/>
      <c r="T46" s="99"/>
      <c r="U46" s="99"/>
      <c r="V46" s="100"/>
      <c r="W46" s="99"/>
      <c r="X46" s="99"/>
      <c r="Y46" s="99"/>
      <c r="Z46" s="99"/>
    </row>
    <row r="47" spans="2:26" ht="15.75" customHeight="1" thickTop="1">
      <c r="B47" s="18">
        <f>0.5*$D$7</f>
        <v>400</v>
      </c>
      <c r="C47" s="207">
        <v>50</v>
      </c>
      <c r="D47" s="18">
        <v>20</v>
      </c>
      <c r="E47" s="19">
        <f t="shared" si="1"/>
        <v>25</v>
      </c>
      <c r="F47" s="20">
        <f>F17</f>
        <v>3.963544444444444</v>
      </c>
      <c r="G47" s="21">
        <f t="shared" si="5"/>
        <v>1105.8289</v>
      </c>
      <c r="H47" s="21">
        <f>H17*0.5</f>
        <v>109.69540389664888</v>
      </c>
      <c r="I47" s="21">
        <f>I41</f>
        <v>92</v>
      </c>
      <c r="J47" s="21">
        <f t="shared" si="0"/>
        <v>0.5484770194832445</v>
      </c>
      <c r="P47" s="99"/>
      <c r="Q47" s="99"/>
      <c r="R47" s="99"/>
      <c r="S47" s="99"/>
      <c r="T47" s="99"/>
      <c r="U47" s="99"/>
      <c r="V47" s="100"/>
      <c r="W47" s="99"/>
      <c r="X47" s="99"/>
      <c r="Y47" s="99"/>
      <c r="Z47" s="99"/>
    </row>
    <row r="48" spans="2:26" ht="15.75" customHeight="1">
      <c r="B48" s="18">
        <f>0.5*$D$7</f>
        <v>400</v>
      </c>
      <c r="C48" s="208"/>
      <c r="D48" s="18">
        <v>25</v>
      </c>
      <c r="E48" s="19">
        <f t="shared" si="1"/>
        <v>33.333333333333336</v>
      </c>
      <c r="F48" s="20">
        <f>F18</f>
        <v>3.688128444444444</v>
      </c>
      <c r="G48" s="21">
        <f t="shared" si="5"/>
        <v>1097.5870250666667</v>
      </c>
      <c r="H48" s="21">
        <f>H18*0.5</f>
        <v>118.86901860502903</v>
      </c>
      <c r="I48" s="18">
        <v>91.24</v>
      </c>
      <c r="J48" s="21">
        <f t="shared" si="0"/>
        <v>0.5943450930251452</v>
      </c>
      <c r="P48" s="99"/>
      <c r="Q48" s="99"/>
      <c r="R48" s="99"/>
      <c r="S48" s="99"/>
      <c r="T48" s="99"/>
      <c r="U48" s="99"/>
      <c r="V48" s="100"/>
      <c r="W48" s="99"/>
      <c r="X48" s="99"/>
      <c r="Y48" s="99"/>
      <c r="Z48" s="99"/>
    </row>
    <row r="49" spans="2:26" ht="15" customHeight="1">
      <c r="B49" s="31">
        <f>B19*0.5</f>
        <v>341.51485623137535</v>
      </c>
      <c r="C49" s="208"/>
      <c r="D49" s="32">
        <v>30</v>
      </c>
      <c r="E49" s="19">
        <f t="shared" si="1"/>
        <v>42.857142857142854</v>
      </c>
      <c r="F49" s="33">
        <f>F43</f>
        <v>3.3840232777777772</v>
      </c>
      <c r="G49" s="38">
        <f t="shared" si="5"/>
        <v>1079.0199937142854</v>
      </c>
      <c r="H49" s="21">
        <f>H19*0.5</f>
        <v>130.16462570662023</v>
      </c>
      <c r="I49" s="32">
        <v>90.81</v>
      </c>
      <c r="J49" s="21">
        <f t="shared" si="0"/>
        <v>0.6508231285331011</v>
      </c>
      <c r="P49" s="99"/>
      <c r="Q49" s="99"/>
      <c r="R49" s="99"/>
      <c r="S49" s="99"/>
      <c r="T49" s="99"/>
      <c r="U49" s="99"/>
      <c r="V49" s="100"/>
      <c r="W49" s="99"/>
      <c r="X49" s="99"/>
      <c r="Y49" s="99"/>
      <c r="Z49" s="99"/>
    </row>
    <row r="50" spans="2:26" ht="15" customHeight="1">
      <c r="B50" s="31">
        <f>B20*0.5</f>
        <v>312.5618147617592</v>
      </c>
      <c r="C50" s="208"/>
      <c r="D50" s="32">
        <v>35</v>
      </c>
      <c r="E50" s="19">
        <f t="shared" si="1"/>
        <v>53.84615384615385</v>
      </c>
      <c r="F50" s="33">
        <f>F44</f>
        <v>3.0971316111111107</v>
      </c>
      <c r="G50" s="38">
        <f t="shared" si="5"/>
        <v>1063.507347076923</v>
      </c>
      <c r="H50" s="21">
        <f>H20*0.5</f>
        <v>142.91441902812772</v>
      </c>
      <c r="I50" s="32">
        <v>90.37</v>
      </c>
      <c r="J50" s="21">
        <f t="shared" si="0"/>
        <v>0.7145720951406386</v>
      </c>
      <c r="P50" s="99"/>
      <c r="Q50" s="99"/>
      <c r="R50" s="99"/>
      <c r="S50" s="99"/>
      <c r="T50" s="99"/>
      <c r="U50" s="99"/>
      <c r="V50" s="100"/>
      <c r="W50" s="99"/>
      <c r="X50" s="99"/>
      <c r="Y50" s="99"/>
      <c r="Z50" s="99"/>
    </row>
    <row r="51" spans="2:26" ht="15" customHeight="1">
      <c r="B51" s="31">
        <f>B21*0.5</f>
        <v>283.60877329214316</v>
      </c>
      <c r="C51" s="208"/>
      <c r="D51" s="32">
        <v>40</v>
      </c>
      <c r="E51" s="19">
        <f t="shared" si="1"/>
        <v>66.66666666666667</v>
      </c>
      <c r="F51" s="33">
        <f>F45</f>
        <v>2.810239944444444</v>
      </c>
      <c r="G51" s="38">
        <f t="shared" si="5"/>
        <v>1045.4092593333332</v>
      </c>
      <c r="H51" s="21">
        <f>H21*0.5</f>
        <v>158.2572830774067</v>
      </c>
      <c r="I51" s="32">
        <v>89.94</v>
      </c>
      <c r="J51" s="21">
        <f t="shared" si="0"/>
        <v>0.7912864153870335</v>
      </c>
      <c r="P51" s="99"/>
      <c r="Q51" s="99"/>
      <c r="R51" s="99"/>
      <c r="S51" s="99"/>
      <c r="T51" s="99"/>
      <c r="U51" s="99"/>
      <c r="V51" s="100"/>
      <c r="W51" s="99"/>
      <c r="X51" s="99"/>
      <c r="Y51" s="99"/>
      <c r="Z51" s="99"/>
    </row>
    <row r="52" spans="2:26" ht="15.75" customHeight="1" thickBot="1">
      <c r="B52" s="34">
        <f>B22*0.5</f>
        <v>254.65573182252695</v>
      </c>
      <c r="C52" s="209"/>
      <c r="D52" s="35">
        <v>45</v>
      </c>
      <c r="E52" s="34">
        <f t="shared" si="1"/>
        <v>81.81818181818181</v>
      </c>
      <c r="F52" s="36">
        <f>F46</f>
        <v>2.523348277777777</v>
      </c>
      <c r="G52" s="37">
        <f t="shared" si="5"/>
        <v>1024.0206101818178</v>
      </c>
      <c r="H52" s="37">
        <f>H22*0.5</f>
        <v>177.93190787888196</v>
      </c>
      <c r="I52" s="35">
        <v>89.09</v>
      </c>
      <c r="J52" s="37">
        <f t="shared" si="0"/>
        <v>0.8896595393944098</v>
      </c>
      <c r="P52" s="99"/>
      <c r="Q52" s="99"/>
      <c r="R52" s="99"/>
      <c r="S52" s="99"/>
      <c r="T52" s="99"/>
      <c r="U52" s="99"/>
      <c r="V52" s="100"/>
      <c r="W52" s="99"/>
      <c r="X52" s="99"/>
      <c r="Y52" s="99"/>
      <c r="Z52" s="99"/>
    </row>
    <row r="53" spans="2:26" ht="15.75" customHeight="1" thickTop="1">
      <c r="B53" s="18">
        <f>0.4*$D$7</f>
        <v>320</v>
      </c>
      <c r="C53" s="207">
        <v>40</v>
      </c>
      <c r="D53" s="18">
        <v>20</v>
      </c>
      <c r="E53" s="19">
        <f t="shared" si="1"/>
        <v>25</v>
      </c>
      <c r="F53" s="20">
        <f>F17</f>
        <v>3.963544444444444</v>
      </c>
      <c r="G53" s="21">
        <f t="shared" si="5"/>
        <v>1105.8289</v>
      </c>
      <c r="H53" s="21">
        <f>H17*0.4</f>
        <v>87.75632311731911</v>
      </c>
      <c r="I53" s="21">
        <f>I47</f>
        <v>92</v>
      </c>
      <c r="J53" s="21">
        <f t="shared" si="0"/>
        <v>0.43878161558659556</v>
      </c>
      <c r="P53" s="99"/>
      <c r="Q53" s="99"/>
      <c r="R53" s="99"/>
      <c r="S53" s="99"/>
      <c r="T53" s="99"/>
      <c r="U53" s="99"/>
      <c r="V53" s="100"/>
      <c r="W53" s="99"/>
      <c r="X53" s="99"/>
      <c r="Y53" s="99"/>
      <c r="Z53" s="99"/>
    </row>
    <row r="54" spans="2:26" ht="15.75" customHeight="1">
      <c r="B54" s="18">
        <f>0.4*$D$7</f>
        <v>320</v>
      </c>
      <c r="C54" s="208"/>
      <c r="D54" s="18">
        <v>25</v>
      </c>
      <c r="E54" s="19">
        <f t="shared" si="1"/>
        <v>33.333333333333336</v>
      </c>
      <c r="F54" s="20">
        <f>F18</f>
        <v>3.688128444444444</v>
      </c>
      <c r="G54" s="21">
        <f t="shared" si="5"/>
        <v>1097.5870250666667</v>
      </c>
      <c r="H54" s="21">
        <f>H18*0.4</f>
        <v>95.09521488402322</v>
      </c>
      <c r="I54" s="18">
        <v>91.24</v>
      </c>
      <c r="J54" s="21">
        <f t="shared" si="0"/>
        <v>0.4754760744201161</v>
      </c>
      <c r="P54" s="99"/>
      <c r="Q54" s="99"/>
      <c r="R54" s="99"/>
      <c r="S54" s="99"/>
      <c r="T54" s="99"/>
      <c r="U54" s="99"/>
      <c r="V54" s="100"/>
      <c r="W54" s="99"/>
      <c r="X54" s="99"/>
      <c r="Y54" s="99"/>
      <c r="Z54" s="99"/>
    </row>
    <row r="55" spans="2:26" ht="15" customHeight="1">
      <c r="B55" s="31">
        <f>B19*0.4</f>
        <v>273.2118849851003</v>
      </c>
      <c r="C55" s="208"/>
      <c r="D55" s="32">
        <v>30</v>
      </c>
      <c r="E55" s="19">
        <f t="shared" si="1"/>
        <v>42.857142857142854</v>
      </c>
      <c r="F55" s="33">
        <f>F49</f>
        <v>3.3840232777777772</v>
      </c>
      <c r="G55" s="38">
        <f t="shared" si="5"/>
        <v>1079.0199937142854</v>
      </c>
      <c r="H55" s="21">
        <f>H19*0.4</f>
        <v>104.13170056529619</v>
      </c>
      <c r="I55" s="32">
        <v>90.81</v>
      </c>
      <c r="J55" s="21">
        <f t="shared" si="0"/>
        <v>0.520658502826481</v>
      </c>
      <c r="P55" s="99"/>
      <c r="Q55" s="99"/>
      <c r="R55" s="99"/>
      <c r="S55" s="99"/>
      <c r="T55" s="99"/>
      <c r="U55" s="99"/>
      <c r="V55" s="100"/>
      <c r="W55" s="99"/>
      <c r="X55" s="99"/>
      <c r="Y55" s="99"/>
      <c r="Z55" s="99"/>
    </row>
    <row r="56" spans="2:26" ht="15" customHeight="1">
      <c r="B56" s="31">
        <f>B20*0.4</f>
        <v>250.04945180940737</v>
      </c>
      <c r="C56" s="208"/>
      <c r="D56" s="32">
        <v>35</v>
      </c>
      <c r="E56" s="19">
        <f t="shared" si="1"/>
        <v>53.84615384615385</v>
      </c>
      <c r="F56" s="33">
        <f>F50</f>
        <v>3.0971316111111107</v>
      </c>
      <c r="G56" s="38">
        <f t="shared" si="5"/>
        <v>1063.507347076923</v>
      </c>
      <c r="H56" s="21">
        <f>H20*0.4</f>
        <v>114.33153522250218</v>
      </c>
      <c r="I56" s="32">
        <v>90.37</v>
      </c>
      <c r="J56" s="21">
        <f t="shared" si="0"/>
        <v>0.571657676112511</v>
      </c>
      <c r="P56" s="99"/>
      <c r="Q56" s="99"/>
      <c r="R56" s="99"/>
      <c r="S56" s="99"/>
      <c r="T56" s="99"/>
      <c r="U56" s="99"/>
      <c r="V56" s="100"/>
      <c r="W56" s="99"/>
      <c r="X56" s="99"/>
      <c r="Y56" s="99"/>
      <c r="Z56" s="99"/>
    </row>
    <row r="57" spans="2:26" ht="15" customHeight="1">
      <c r="B57" s="31">
        <f>B21*0.4</f>
        <v>226.88701863371455</v>
      </c>
      <c r="C57" s="208"/>
      <c r="D57" s="32">
        <v>40</v>
      </c>
      <c r="E57" s="19">
        <f t="shared" si="1"/>
        <v>66.66666666666667</v>
      </c>
      <c r="F57" s="33">
        <f>F51</f>
        <v>2.810239944444444</v>
      </c>
      <c r="G57" s="38">
        <f t="shared" si="5"/>
        <v>1045.4092593333332</v>
      </c>
      <c r="H57" s="21">
        <f>H21*0.4</f>
        <v>126.60582646192536</v>
      </c>
      <c r="I57" s="32">
        <v>89.94</v>
      </c>
      <c r="J57" s="21">
        <f t="shared" si="0"/>
        <v>0.6330291323096268</v>
      </c>
      <c r="P57" s="99"/>
      <c r="Q57" s="99"/>
      <c r="R57" s="99"/>
      <c r="S57" s="99"/>
      <c r="T57" s="99"/>
      <c r="U57" s="99"/>
      <c r="V57" s="100"/>
      <c r="W57" s="99"/>
      <c r="X57" s="99"/>
      <c r="Y57" s="99"/>
      <c r="Z57" s="99"/>
    </row>
    <row r="58" spans="2:26" ht="15.75" customHeight="1" thickBot="1">
      <c r="B58" s="34">
        <f>B22*0.4</f>
        <v>203.72458545802158</v>
      </c>
      <c r="C58" s="209"/>
      <c r="D58" s="35">
        <v>45</v>
      </c>
      <c r="E58" s="34">
        <f t="shared" si="1"/>
        <v>81.81818181818181</v>
      </c>
      <c r="F58" s="36">
        <f>F52</f>
        <v>2.523348277777777</v>
      </c>
      <c r="G58" s="37">
        <f t="shared" si="5"/>
        <v>1024.0206101818178</v>
      </c>
      <c r="H58" s="37">
        <f>H22*0.4</f>
        <v>142.34552630310557</v>
      </c>
      <c r="I58" s="35">
        <v>89.09</v>
      </c>
      <c r="J58" s="37">
        <f t="shared" si="0"/>
        <v>0.7117276315155279</v>
      </c>
      <c r="P58" s="99"/>
      <c r="Q58" s="99"/>
      <c r="R58" s="99"/>
      <c r="S58" s="99"/>
      <c r="T58" s="99"/>
      <c r="U58" s="99"/>
      <c r="V58" s="100"/>
      <c r="W58" s="99"/>
      <c r="X58" s="99"/>
      <c r="Y58" s="99"/>
      <c r="Z58" s="99"/>
    </row>
    <row r="59" spans="2:26" ht="15.75" customHeight="1" thickTop="1">
      <c r="B59" s="18">
        <f>0.3*$D$7</f>
        <v>240</v>
      </c>
      <c r="C59" s="207">
        <v>30</v>
      </c>
      <c r="D59" s="18">
        <v>20</v>
      </c>
      <c r="E59" s="19">
        <f t="shared" si="1"/>
        <v>25</v>
      </c>
      <c r="F59" s="20">
        <f>F17</f>
        <v>3.963544444444444</v>
      </c>
      <c r="G59" s="21">
        <f t="shared" si="5"/>
        <v>1105.8289</v>
      </c>
      <c r="H59" s="21">
        <f>H17*0.3</f>
        <v>65.81724233798933</v>
      </c>
      <c r="I59" s="21">
        <f>I53</f>
        <v>92</v>
      </c>
      <c r="J59" s="21">
        <f t="shared" si="0"/>
        <v>0.3290862116899466</v>
      </c>
      <c r="P59" s="99"/>
      <c r="Q59" s="99"/>
      <c r="R59" s="99"/>
      <c r="S59" s="99"/>
      <c r="T59" s="99"/>
      <c r="U59" s="99"/>
      <c r="V59" s="100"/>
      <c r="W59" s="99"/>
      <c r="X59" s="99"/>
      <c r="Y59" s="99"/>
      <c r="Z59" s="99"/>
    </row>
    <row r="60" spans="2:26" ht="15.75" customHeight="1">
      <c r="B60" s="18">
        <f>0.3*$D$7</f>
        <v>240</v>
      </c>
      <c r="C60" s="208"/>
      <c r="D60" s="18">
        <v>25</v>
      </c>
      <c r="E60" s="19">
        <f t="shared" si="1"/>
        <v>33.333333333333336</v>
      </c>
      <c r="F60" s="20">
        <f>F18</f>
        <v>3.688128444444444</v>
      </c>
      <c r="G60" s="21">
        <f t="shared" si="5"/>
        <v>1097.5870250666667</v>
      </c>
      <c r="H60" s="21">
        <f>H18*0.3</f>
        <v>71.32141116301742</v>
      </c>
      <c r="I60" s="18">
        <v>91.24</v>
      </c>
      <c r="J60" s="21">
        <f t="shared" si="0"/>
        <v>0.35660705581508706</v>
      </c>
      <c r="P60" s="99"/>
      <c r="Q60" s="99"/>
      <c r="R60" s="99"/>
      <c r="S60" s="99"/>
      <c r="T60" s="99"/>
      <c r="U60" s="99"/>
      <c r="V60" s="100"/>
      <c r="W60" s="99"/>
      <c r="X60" s="99"/>
      <c r="Y60" s="99"/>
      <c r="Z60" s="99"/>
    </row>
    <row r="61" spans="2:26" ht="15" customHeight="1">
      <c r="B61" s="31">
        <f>B19*0.3</f>
        <v>204.9089137388252</v>
      </c>
      <c r="C61" s="208"/>
      <c r="D61" s="32">
        <v>30</v>
      </c>
      <c r="E61" s="19">
        <f t="shared" si="1"/>
        <v>42.857142857142854</v>
      </c>
      <c r="F61" s="33">
        <f>F55</f>
        <v>3.3840232777777772</v>
      </c>
      <c r="G61" s="38">
        <f t="shared" si="5"/>
        <v>1079.0199937142854</v>
      </c>
      <c r="H61" s="21">
        <f>H19*0.3</f>
        <v>78.09877542397213</v>
      </c>
      <c r="I61" s="32">
        <v>90.81</v>
      </c>
      <c r="J61" s="21">
        <f t="shared" si="0"/>
        <v>0.39049387711986067</v>
      </c>
      <c r="P61" s="99"/>
      <c r="Q61" s="99">
        <f>18.8*(800/1000)*(S73*1000-2.2562*R73)/1000/3.6</f>
        <v>56.7155447284879</v>
      </c>
      <c r="R61" s="99"/>
      <c r="S61" s="99"/>
      <c r="T61" s="99"/>
      <c r="U61" s="99"/>
      <c r="V61" s="100"/>
      <c r="W61" s="99"/>
      <c r="X61" s="99"/>
      <c r="Y61" s="99"/>
      <c r="Z61" s="99"/>
    </row>
    <row r="62" spans="2:26" ht="15" customHeight="1">
      <c r="B62" s="31">
        <f>B20*0.3</f>
        <v>187.53708885705552</v>
      </c>
      <c r="C62" s="208"/>
      <c r="D62" s="32">
        <v>35</v>
      </c>
      <c r="E62" s="19">
        <f t="shared" si="1"/>
        <v>53.84615384615385</v>
      </c>
      <c r="F62" s="33">
        <f>F56</f>
        <v>3.0971316111111107</v>
      </c>
      <c r="G62" s="38">
        <f t="shared" si="5"/>
        <v>1063.507347076923</v>
      </c>
      <c r="H62" s="21">
        <f>H20*0.3</f>
        <v>85.74865141687663</v>
      </c>
      <c r="I62" s="32">
        <v>90.37</v>
      </c>
      <c r="J62" s="21">
        <f t="shared" si="0"/>
        <v>0.42874325708438316</v>
      </c>
      <c r="P62" s="99"/>
      <c r="Q62" s="99"/>
      <c r="R62" s="99"/>
      <c r="S62" s="99"/>
      <c r="T62" s="99"/>
      <c r="U62" s="99"/>
      <c r="V62" s="100"/>
      <c r="W62" s="99"/>
      <c r="X62" s="99"/>
      <c r="Y62" s="99"/>
      <c r="Z62" s="99"/>
    </row>
    <row r="63" spans="2:26" ht="15" customHeight="1">
      <c r="B63" s="31">
        <f>B21*0.3</f>
        <v>170.16526397528588</v>
      </c>
      <c r="C63" s="208"/>
      <c r="D63" s="32">
        <v>40</v>
      </c>
      <c r="E63" s="19">
        <f t="shared" si="1"/>
        <v>66.66666666666667</v>
      </c>
      <c r="F63" s="33">
        <f>F57</f>
        <v>2.810239944444444</v>
      </c>
      <c r="G63" s="38">
        <f t="shared" si="5"/>
        <v>1045.4092593333332</v>
      </c>
      <c r="H63" s="21">
        <f>H21*0.3</f>
        <v>94.95436984644401</v>
      </c>
      <c r="I63" s="32">
        <v>89.94</v>
      </c>
      <c r="J63" s="21">
        <f t="shared" si="0"/>
        <v>0.47477184923222004</v>
      </c>
      <c r="P63" s="99"/>
      <c r="Q63" s="99"/>
      <c r="R63" s="99"/>
      <c r="S63" s="99"/>
      <c r="T63" s="99"/>
      <c r="U63" s="99"/>
      <c r="V63" s="100"/>
      <c r="W63" s="99"/>
      <c r="X63" s="99"/>
      <c r="Y63" s="99"/>
      <c r="Z63" s="99"/>
    </row>
    <row r="64" spans="2:10" ht="15.75" customHeight="1" thickBot="1">
      <c r="B64" s="34">
        <f>B22*0.3</f>
        <v>152.79343909351616</v>
      </c>
      <c r="C64" s="209"/>
      <c r="D64" s="35">
        <v>45</v>
      </c>
      <c r="E64" s="34">
        <f t="shared" si="1"/>
        <v>81.81818181818181</v>
      </c>
      <c r="F64" s="36">
        <f>F58</f>
        <v>2.523348277777777</v>
      </c>
      <c r="G64" s="37">
        <f t="shared" si="5"/>
        <v>1024.0206101818178</v>
      </c>
      <c r="H64" s="37">
        <f>H22*0.3</f>
        <v>106.75914472732917</v>
      </c>
      <c r="I64" s="35">
        <v>89.09</v>
      </c>
      <c r="J64" s="37">
        <f t="shared" si="0"/>
        <v>0.5337957236366458</v>
      </c>
    </row>
    <row r="65" ht="15.75" thickTop="1"/>
    <row r="66" spans="2:8" ht="15">
      <c r="B66" s="196" t="s">
        <v>119</v>
      </c>
      <c r="C66" s="197"/>
      <c r="D66" s="197"/>
      <c r="E66" s="197"/>
      <c r="F66" s="197"/>
      <c r="G66" s="198"/>
      <c r="H66" s="199" t="s">
        <v>68</v>
      </c>
    </row>
    <row r="67" spans="2:10" ht="42" customHeight="1">
      <c r="B67" s="202" t="s">
        <v>120</v>
      </c>
      <c r="C67" s="202"/>
      <c r="D67" s="202"/>
      <c r="E67" s="202"/>
      <c r="F67" s="202"/>
      <c r="G67" s="202"/>
      <c r="H67" s="202"/>
      <c r="I67" s="200"/>
      <c r="J67" s="41" t="s">
        <v>69</v>
      </c>
    </row>
    <row r="68" ht="15" hidden="1"/>
    <row r="69" spans="12:26" ht="15" hidden="1"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7"/>
      <c r="W69" s="105"/>
      <c r="X69" s="105"/>
      <c r="Y69" s="105"/>
      <c r="Z69" s="105"/>
    </row>
    <row r="70" spans="12:26" ht="15" hidden="1"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7"/>
      <c r="W70" s="105"/>
      <c r="X70" s="105"/>
      <c r="Y70" s="105"/>
      <c r="Z70" s="105"/>
    </row>
    <row r="71" spans="12:26" ht="15" customHeight="1" hidden="1">
      <c r="L71" s="120"/>
      <c r="M71" s="121" t="s">
        <v>5</v>
      </c>
      <c r="N71" s="121" t="s">
        <v>6</v>
      </c>
      <c r="O71" s="122" t="s">
        <v>7</v>
      </c>
      <c r="P71" s="122" t="s">
        <v>8</v>
      </c>
      <c r="Q71" s="122" t="s">
        <v>9</v>
      </c>
      <c r="R71" s="122" t="s">
        <v>10</v>
      </c>
      <c r="S71" s="122" t="s">
        <v>11</v>
      </c>
      <c r="T71" s="122" t="s">
        <v>12</v>
      </c>
      <c r="U71" s="122" t="s">
        <v>13</v>
      </c>
      <c r="V71" s="122" t="s">
        <v>14</v>
      </c>
      <c r="W71" s="123" t="s">
        <v>15</v>
      </c>
      <c r="X71" s="124" t="s">
        <v>16</v>
      </c>
      <c r="Y71" s="122" t="s">
        <v>17</v>
      </c>
      <c r="Z71" s="105"/>
    </row>
    <row r="72" spans="12:26" ht="15" hidden="1">
      <c r="L72" s="125" t="s">
        <v>2</v>
      </c>
      <c r="M72" s="120">
        <v>25</v>
      </c>
      <c r="N72" s="126">
        <v>20</v>
      </c>
      <c r="O72" s="127">
        <f>1000*M72/100</f>
        <v>250</v>
      </c>
      <c r="P72" s="127">
        <f>1000+O72</f>
        <v>1250</v>
      </c>
      <c r="Q72" s="127">
        <f>1000*1000/P72</f>
        <v>800</v>
      </c>
      <c r="R72" s="127">
        <f>1000-Q72</f>
        <v>200</v>
      </c>
      <c r="S72" s="128">
        <f>18.8*(Q72/1000)</f>
        <v>15.040000000000001</v>
      </c>
      <c r="T72" s="128">
        <f>(S72*1000-2.2562*R72)/1000</f>
        <v>14.588760000000002</v>
      </c>
      <c r="U72" s="128">
        <f>T72*0.278</f>
        <v>4.055675280000001</v>
      </c>
      <c r="V72" s="127">
        <f>W72/1.43</f>
        <v>331.2937062937063</v>
      </c>
      <c r="W72" s="129">
        <f>379+(379*M72/100)</f>
        <v>473.75</v>
      </c>
      <c r="X72" s="130">
        <f>W72/2.5</f>
        <v>189.5</v>
      </c>
      <c r="Y72" s="131">
        <f>U72*X72/1000</f>
        <v>0.7685504655600002</v>
      </c>
      <c r="Z72" s="105"/>
    </row>
    <row r="73" spans="12:26" ht="15" hidden="1">
      <c r="L73" s="125" t="s">
        <v>2</v>
      </c>
      <c r="M73" s="120">
        <v>33</v>
      </c>
      <c r="N73" s="126">
        <v>25</v>
      </c>
      <c r="O73" s="127">
        <f aca="true" t="shared" si="6" ref="O73:O98">1000*M73/100</f>
        <v>330</v>
      </c>
      <c r="P73" s="127">
        <f aca="true" t="shared" si="7" ref="P73:P98">1000+O73</f>
        <v>1330</v>
      </c>
      <c r="Q73" s="127">
        <f aca="true" t="shared" si="8" ref="Q73:Q97">1000*1000/P73</f>
        <v>751.8796992481203</v>
      </c>
      <c r="R73" s="127">
        <f aca="true" t="shared" si="9" ref="R73:R98">1000-Q73</f>
        <v>248.12030075187965</v>
      </c>
      <c r="S73" s="128">
        <f aca="true" t="shared" si="10" ref="S73:S97">18.8*(Q73/1000)</f>
        <v>14.135338345864664</v>
      </c>
      <c r="T73" s="128">
        <f aca="true" t="shared" si="11" ref="T73:T98">(S73*1000-2.2562*R73)/1000</f>
        <v>13.575529323308274</v>
      </c>
      <c r="U73" s="128">
        <f>T73*0.278</f>
        <v>3.7739971518797004</v>
      </c>
      <c r="V73" s="127">
        <f>W73/1.43</f>
        <v>352.4965034965035</v>
      </c>
      <c r="W73" s="129">
        <f>379+(379*M73/100)</f>
        <v>504.07</v>
      </c>
      <c r="X73" s="130">
        <f>W73/2.5</f>
        <v>201.628</v>
      </c>
      <c r="Y73" s="131">
        <f>U73*X73/1000</f>
        <v>0.7609434977392002</v>
      </c>
      <c r="Z73" s="105"/>
    </row>
    <row r="74" spans="12:26" ht="15" hidden="1">
      <c r="L74" s="125" t="s">
        <v>2</v>
      </c>
      <c r="M74" s="120">
        <v>43</v>
      </c>
      <c r="N74" s="126">
        <v>30</v>
      </c>
      <c r="O74" s="127">
        <f t="shared" si="6"/>
        <v>430</v>
      </c>
      <c r="P74" s="127">
        <f t="shared" si="7"/>
        <v>1430</v>
      </c>
      <c r="Q74" s="127">
        <f t="shared" si="8"/>
        <v>699.3006993006993</v>
      </c>
      <c r="R74" s="127">
        <f t="shared" si="9"/>
        <v>300.6993006993007</v>
      </c>
      <c r="S74" s="128">
        <f t="shared" si="10"/>
        <v>13.146853146853147</v>
      </c>
      <c r="T74" s="128">
        <f t="shared" si="11"/>
        <v>12.468415384615385</v>
      </c>
      <c r="U74" s="128">
        <f aca="true" t="shared" si="12" ref="U74:U98">T74*0.278</f>
        <v>3.466219476923077</v>
      </c>
      <c r="V74" s="127">
        <f aca="true" t="shared" si="13" ref="V74:V98">W74/1.43</f>
        <v>378</v>
      </c>
      <c r="W74" s="129">
        <f>378+(378*M74/100)</f>
        <v>540.54</v>
      </c>
      <c r="X74" s="130">
        <f aca="true" t="shared" si="14" ref="X74:X98">W74/2.5</f>
        <v>216.21599999999998</v>
      </c>
      <c r="Y74" s="131">
        <f aca="true" t="shared" si="15" ref="Y74:Y98">U74*X74/1000</f>
        <v>0.7494521104224</v>
      </c>
      <c r="Z74" s="105"/>
    </row>
    <row r="75" spans="12:26" ht="15" hidden="1">
      <c r="L75" s="125" t="s">
        <v>2</v>
      </c>
      <c r="M75" s="120">
        <v>54</v>
      </c>
      <c r="N75" s="126">
        <v>35</v>
      </c>
      <c r="O75" s="127">
        <f t="shared" si="6"/>
        <v>540</v>
      </c>
      <c r="P75" s="127">
        <f t="shared" si="7"/>
        <v>1540</v>
      </c>
      <c r="Q75" s="127">
        <f t="shared" si="8"/>
        <v>649.3506493506494</v>
      </c>
      <c r="R75" s="127">
        <f t="shared" si="9"/>
        <v>350.6493506493506</v>
      </c>
      <c r="S75" s="128">
        <f t="shared" si="10"/>
        <v>12.20779220779221</v>
      </c>
      <c r="T75" s="128">
        <f t="shared" si="11"/>
        <v>11.416657142857146</v>
      </c>
      <c r="U75" s="128">
        <f>T75*0.278</f>
        <v>3.173830685714287</v>
      </c>
      <c r="V75" s="127">
        <f t="shared" si="13"/>
        <v>407.0769230769231</v>
      </c>
      <c r="W75" s="129">
        <f>378+(378*M75/100)</f>
        <v>582.12</v>
      </c>
      <c r="X75" s="130">
        <f t="shared" si="14"/>
        <v>232.848</v>
      </c>
      <c r="Y75" s="131">
        <f t="shared" si="15"/>
        <v>0.7390201275072003</v>
      </c>
      <c r="Z75" s="105"/>
    </row>
    <row r="76" spans="12:26" ht="15" hidden="1">
      <c r="L76" s="125" t="s">
        <v>2</v>
      </c>
      <c r="M76" s="120">
        <v>67</v>
      </c>
      <c r="N76" s="126">
        <v>40</v>
      </c>
      <c r="O76" s="127">
        <f t="shared" si="6"/>
        <v>670</v>
      </c>
      <c r="P76" s="127">
        <f t="shared" si="7"/>
        <v>1670</v>
      </c>
      <c r="Q76" s="127">
        <f t="shared" si="8"/>
        <v>598.8023952095808</v>
      </c>
      <c r="R76" s="127">
        <f t="shared" si="9"/>
        <v>401.1976047904192</v>
      </c>
      <c r="S76" s="128">
        <f t="shared" si="10"/>
        <v>11.257485029940119</v>
      </c>
      <c r="T76" s="128">
        <f t="shared" si="11"/>
        <v>10.352302994011975</v>
      </c>
      <c r="U76" s="128">
        <f>T76*0.278</f>
        <v>2.8779402323353294</v>
      </c>
      <c r="V76" s="127">
        <f t="shared" si="13"/>
        <v>441.44055944055947</v>
      </c>
      <c r="W76" s="129">
        <f>378+(378*M76/100)</f>
        <v>631.26</v>
      </c>
      <c r="X76" s="130">
        <f t="shared" si="14"/>
        <v>252.504</v>
      </c>
      <c r="Y76" s="131">
        <f t="shared" si="15"/>
        <v>0.7266914204256</v>
      </c>
      <c r="Z76" s="105"/>
    </row>
    <row r="77" spans="12:26" ht="15" hidden="1">
      <c r="L77" s="125" t="s">
        <v>2</v>
      </c>
      <c r="M77" s="120">
        <v>82</v>
      </c>
      <c r="N77" s="126">
        <v>45</v>
      </c>
      <c r="O77" s="127">
        <f t="shared" si="6"/>
        <v>820</v>
      </c>
      <c r="P77" s="127">
        <f t="shared" si="7"/>
        <v>1820</v>
      </c>
      <c r="Q77" s="127">
        <f t="shared" si="8"/>
        <v>549.4505494505495</v>
      </c>
      <c r="R77" s="127">
        <f t="shared" si="9"/>
        <v>450.5494505494505</v>
      </c>
      <c r="S77" s="128">
        <f t="shared" si="10"/>
        <v>10.32967032967033</v>
      </c>
      <c r="T77" s="128">
        <f t="shared" si="11"/>
        <v>9.313140659340661</v>
      </c>
      <c r="U77" s="128">
        <f t="shared" si="12"/>
        <v>2.589053103296704</v>
      </c>
      <c r="V77" s="127">
        <f t="shared" si="13"/>
        <v>481.0909090909091</v>
      </c>
      <c r="W77" s="129">
        <f>378+(378*M77/100)</f>
        <v>687.96</v>
      </c>
      <c r="X77" s="130">
        <f t="shared" si="14"/>
        <v>275.184</v>
      </c>
      <c r="Y77" s="131">
        <f t="shared" si="15"/>
        <v>0.7124659891776003</v>
      </c>
      <c r="Z77" s="105"/>
    </row>
    <row r="78" spans="12:26" ht="15" hidden="1">
      <c r="L78" s="125" t="s">
        <v>3</v>
      </c>
      <c r="M78" s="120">
        <v>25</v>
      </c>
      <c r="N78" s="126">
        <v>20</v>
      </c>
      <c r="O78" s="127">
        <f t="shared" si="6"/>
        <v>250</v>
      </c>
      <c r="P78" s="127">
        <f t="shared" si="7"/>
        <v>1250</v>
      </c>
      <c r="Q78" s="127">
        <f t="shared" si="8"/>
        <v>800</v>
      </c>
      <c r="R78" s="127">
        <f t="shared" si="9"/>
        <v>200</v>
      </c>
      <c r="S78" s="128">
        <f t="shared" si="10"/>
        <v>15.040000000000001</v>
      </c>
      <c r="T78" s="128">
        <f t="shared" si="11"/>
        <v>14.588760000000002</v>
      </c>
      <c r="U78" s="128">
        <f t="shared" si="12"/>
        <v>4.055675280000001</v>
      </c>
      <c r="V78" s="127">
        <f t="shared" si="13"/>
        <v>485.13986013986016</v>
      </c>
      <c r="W78" s="129">
        <f>555+(555*M78/100)</f>
        <v>693.75</v>
      </c>
      <c r="X78" s="130">
        <f t="shared" si="14"/>
        <v>277.5</v>
      </c>
      <c r="Y78" s="131">
        <f t="shared" si="15"/>
        <v>1.1254498902000003</v>
      </c>
      <c r="Z78" s="105"/>
    </row>
    <row r="79" spans="12:26" ht="15" hidden="1">
      <c r="L79" s="125" t="s">
        <v>3</v>
      </c>
      <c r="M79" s="120">
        <v>30</v>
      </c>
      <c r="N79" s="126">
        <v>20</v>
      </c>
      <c r="O79" s="127">
        <f t="shared" si="6"/>
        <v>300</v>
      </c>
      <c r="P79" s="127">
        <f t="shared" si="7"/>
        <v>1300</v>
      </c>
      <c r="Q79" s="127">
        <f t="shared" si="8"/>
        <v>769.2307692307693</v>
      </c>
      <c r="R79" s="127">
        <f t="shared" si="9"/>
        <v>230.76923076923072</v>
      </c>
      <c r="S79" s="128">
        <f t="shared" si="10"/>
        <v>14.461538461538463</v>
      </c>
      <c r="T79" s="128">
        <f t="shared" si="11"/>
        <v>13.940876923076924</v>
      </c>
      <c r="U79" s="128">
        <f t="shared" si="12"/>
        <v>3.875563784615385</v>
      </c>
      <c r="V79" s="127">
        <f t="shared" si="13"/>
        <v>504.54545454545456</v>
      </c>
      <c r="W79" s="129">
        <f>555+(555*M79/100)</f>
        <v>721.5</v>
      </c>
      <c r="X79" s="130">
        <f t="shared" si="14"/>
        <v>288.6</v>
      </c>
      <c r="Y79" s="131">
        <f t="shared" si="15"/>
        <v>1.1184877082400002</v>
      </c>
      <c r="Z79" s="105"/>
    </row>
    <row r="80" spans="12:26" ht="15" hidden="1">
      <c r="L80" s="125" t="s">
        <v>3</v>
      </c>
      <c r="M80" s="120">
        <v>35</v>
      </c>
      <c r="N80" s="126">
        <v>20</v>
      </c>
      <c r="O80" s="127">
        <f t="shared" si="6"/>
        <v>350</v>
      </c>
      <c r="P80" s="127">
        <f t="shared" si="7"/>
        <v>1350</v>
      </c>
      <c r="Q80" s="127">
        <f t="shared" si="8"/>
        <v>740.7407407407408</v>
      </c>
      <c r="R80" s="127">
        <f t="shared" si="9"/>
        <v>259.25925925925924</v>
      </c>
      <c r="S80" s="128">
        <f t="shared" si="10"/>
        <v>13.925925925925927</v>
      </c>
      <c r="T80" s="128">
        <f t="shared" si="11"/>
        <v>13.340985185185186</v>
      </c>
      <c r="U80" s="128">
        <f t="shared" si="12"/>
        <v>3.708793881481482</v>
      </c>
      <c r="V80" s="127">
        <f t="shared" si="13"/>
        <v>523.951048951049</v>
      </c>
      <c r="W80" s="129">
        <f>555+(555*M80/100)</f>
        <v>749.25</v>
      </c>
      <c r="X80" s="130">
        <f t="shared" si="14"/>
        <v>299.7</v>
      </c>
      <c r="Y80" s="131">
        <f t="shared" si="15"/>
        <v>1.1115255262800001</v>
      </c>
      <c r="Z80" s="105"/>
    </row>
    <row r="81" spans="12:26" ht="15" hidden="1">
      <c r="L81" s="125" t="s">
        <v>3</v>
      </c>
      <c r="M81" s="120">
        <v>40</v>
      </c>
      <c r="N81" s="126">
        <v>20</v>
      </c>
      <c r="O81" s="127">
        <f t="shared" si="6"/>
        <v>400</v>
      </c>
      <c r="P81" s="127">
        <f t="shared" si="7"/>
        <v>1400</v>
      </c>
      <c r="Q81" s="127">
        <f t="shared" si="8"/>
        <v>714.2857142857143</v>
      </c>
      <c r="R81" s="127">
        <f t="shared" si="9"/>
        <v>285.71428571428567</v>
      </c>
      <c r="S81" s="128">
        <f t="shared" si="10"/>
        <v>13.428571428571429</v>
      </c>
      <c r="T81" s="128">
        <f t="shared" si="11"/>
        <v>12.783942857142858</v>
      </c>
      <c r="U81" s="128">
        <f t="shared" si="12"/>
        <v>3.553936114285715</v>
      </c>
      <c r="V81" s="127">
        <f t="shared" si="13"/>
        <v>543.3566433566434</v>
      </c>
      <c r="W81" s="129">
        <f>555+(555*M81/100)</f>
        <v>777</v>
      </c>
      <c r="X81" s="130">
        <f t="shared" si="14"/>
        <v>310.8</v>
      </c>
      <c r="Y81" s="131">
        <f t="shared" si="15"/>
        <v>1.1045633443200003</v>
      </c>
      <c r="Z81" s="105"/>
    </row>
    <row r="82" spans="12:26" ht="15" hidden="1">
      <c r="L82" s="125" t="s">
        <v>3</v>
      </c>
      <c r="M82" s="120">
        <v>45</v>
      </c>
      <c r="N82" s="126">
        <v>20</v>
      </c>
      <c r="O82" s="127">
        <f t="shared" si="6"/>
        <v>450</v>
      </c>
      <c r="P82" s="127">
        <f t="shared" si="7"/>
        <v>1450</v>
      </c>
      <c r="Q82" s="127">
        <f t="shared" si="8"/>
        <v>689.6551724137931</v>
      </c>
      <c r="R82" s="127">
        <f t="shared" si="9"/>
        <v>310.34482758620686</v>
      </c>
      <c r="S82" s="128">
        <f t="shared" si="10"/>
        <v>12.965517241379311</v>
      </c>
      <c r="T82" s="128">
        <f t="shared" si="11"/>
        <v>12.26531724137931</v>
      </c>
      <c r="U82" s="128">
        <f t="shared" si="12"/>
        <v>3.409758193103449</v>
      </c>
      <c r="V82" s="127">
        <f t="shared" si="13"/>
        <v>562.7622377622378</v>
      </c>
      <c r="W82" s="129">
        <f>555+(555*M82/100)</f>
        <v>804.75</v>
      </c>
      <c r="X82" s="130">
        <f t="shared" si="14"/>
        <v>321.9</v>
      </c>
      <c r="Y82" s="131">
        <f t="shared" si="15"/>
        <v>1.0976011623600002</v>
      </c>
      <c r="Z82" s="105"/>
    </row>
    <row r="83" spans="12:26" ht="15" hidden="1">
      <c r="L83" s="125" t="s">
        <v>1</v>
      </c>
      <c r="M83" s="120">
        <v>25</v>
      </c>
      <c r="N83" s="126">
        <v>20</v>
      </c>
      <c r="O83" s="127">
        <f t="shared" si="6"/>
        <v>250</v>
      </c>
      <c r="P83" s="127">
        <f t="shared" si="7"/>
        <v>1250</v>
      </c>
      <c r="Q83" s="127">
        <f t="shared" si="8"/>
        <v>800</v>
      </c>
      <c r="R83" s="127">
        <f t="shared" si="9"/>
        <v>200</v>
      </c>
      <c r="S83" s="128">
        <f t="shared" si="10"/>
        <v>15.040000000000001</v>
      </c>
      <c r="T83" s="128">
        <f t="shared" si="11"/>
        <v>14.588760000000002</v>
      </c>
      <c r="U83" s="128">
        <f t="shared" si="12"/>
        <v>4.055675280000001</v>
      </c>
      <c r="V83" s="127">
        <f t="shared" si="13"/>
        <v>375.87412587412587</v>
      </c>
      <c r="W83" s="129">
        <f>430+(430*M83/100)</f>
        <v>537.5</v>
      </c>
      <c r="X83" s="130">
        <f t="shared" si="14"/>
        <v>215</v>
      </c>
      <c r="Y83" s="131">
        <f t="shared" si="15"/>
        <v>0.8719701852000001</v>
      </c>
      <c r="Z83" s="105"/>
    </row>
    <row r="84" spans="12:26" ht="15" hidden="1">
      <c r="L84" s="125" t="s">
        <v>1</v>
      </c>
      <c r="M84" s="120">
        <v>30</v>
      </c>
      <c r="N84" s="126">
        <v>20</v>
      </c>
      <c r="O84" s="127">
        <f t="shared" si="6"/>
        <v>300</v>
      </c>
      <c r="P84" s="127">
        <f t="shared" si="7"/>
        <v>1300</v>
      </c>
      <c r="Q84" s="127">
        <f t="shared" si="8"/>
        <v>769.2307692307693</v>
      </c>
      <c r="R84" s="127">
        <f t="shared" si="9"/>
        <v>230.76923076923072</v>
      </c>
      <c r="S84" s="128">
        <f t="shared" si="10"/>
        <v>14.461538461538463</v>
      </c>
      <c r="T84" s="128">
        <f t="shared" si="11"/>
        <v>13.940876923076924</v>
      </c>
      <c r="U84" s="128">
        <f t="shared" si="12"/>
        <v>3.875563784615385</v>
      </c>
      <c r="V84" s="127">
        <f t="shared" si="13"/>
        <v>390.90909090909093</v>
      </c>
      <c r="W84" s="129">
        <f>430+(430*M84/100)</f>
        <v>559</v>
      </c>
      <c r="X84" s="130">
        <f t="shared" si="14"/>
        <v>223.6</v>
      </c>
      <c r="Y84" s="131">
        <f t="shared" si="15"/>
        <v>0.8665760622400001</v>
      </c>
      <c r="Z84" s="105"/>
    </row>
    <row r="85" spans="12:26" ht="15" hidden="1">
      <c r="L85" s="125" t="s">
        <v>1</v>
      </c>
      <c r="M85" s="120">
        <v>35</v>
      </c>
      <c r="N85" s="126">
        <v>20</v>
      </c>
      <c r="O85" s="127">
        <f t="shared" si="6"/>
        <v>350</v>
      </c>
      <c r="P85" s="127">
        <f t="shared" si="7"/>
        <v>1350</v>
      </c>
      <c r="Q85" s="127">
        <f t="shared" si="8"/>
        <v>740.7407407407408</v>
      </c>
      <c r="R85" s="127">
        <f t="shared" si="9"/>
        <v>259.25925925925924</v>
      </c>
      <c r="S85" s="128">
        <f t="shared" si="10"/>
        <v>13.925925925925927</v>
      </c>
      <c r="T85" s="128">
        <f t="shared" si="11"/>
        <v>13.340985185185186</v>
      </c>
      <c r="U85" s="128">
        <f t="shared" si="12"/>
        <v>3.708793881481482</v>
      </c>
      <c r="V85" s="127">
        <f t="shared" si="13"/>
        <v>405.94405594405595</v>
      </c>
      <c r="W85" s="129">
        <f>430+(430*M85/100)</f>
        <v>580.5</v>
      </c>
      <c r="X85" s="130">
        <f t="shared" si="14"/>
        <v>232.2</v>
      </c>
      <c r="Y85" s="131">
        <f t="shared" si="15"/>
        <v>0.8611819392800001</v>
      </c>
      <c r="Z85" s="105"/>
    </row>
    <row r="86" spans="12:26" ht="15" hidden="1">
      <c r="L86" s="125" t="s">
        <v>1</v>
      </c>
      <c r="M86" s="120">
        <v>40</v>
      </c>
      <c r="N86" s="126">
        <v>20</v>
      </c>
      <c r="O86" s="127">
        <f t="shared" si="6"/>
        <v>400</v>
      </c>
      <c r="P86" s="127">
        <f t="shared" si="7"/>
        <v>1400</v>
      </c>
      <c r="Q86" s="127">
        <f t="shared" si="8"/>
        <v>714.2857142857143</v>
      </c>
      <c r="R86" s="127">
        <f t="shared" si="9"/>
        <v>285.71428571428567</v>
      </c>
      <c r="S86" s="128">
        <f t="shared" si="10"/>
        <v>13.428571428571429</v>
      </c>
      <c r="T86" s="128">
        <f t="shared" si="11"/>
        <v>12.783942857142858</v>
      </c>
      <c r="U86" s="128">
        <f t="shared" si="12"/>
        <v>3.553936114285715</v>
      </c>
      <c r="V86" s="127">
        <f t="shared" si="13"/>
        <v>420.979020979021</v>
      </c>
      <c r="W86" s="129">
        <f>430+(430*M86/100)</f>
        <v>602</v>
      </c>
      <c r="X86" s="130">
        <f t="shared" si="14"/>
        <v>240.8</v>
      </c>
      <c r="Y86" s="131">
        <f t="shared" si="15"/>
        <v>0.8557878163200001</v>
      </c>
      <c r="Z86" s="105"/>
    </row>
    <row r="87" spans="12:26" ht="15" hidden="1">
      <c r="L87" s="125" t="s">
        <v>1</v>
      </c>
      <c r="M87" s="120">
        <v>45</v>
      </c>
      <c r="N87" s="126">
        <v>20</v>
      </c>
      <c r="O87" s="127">
        <f t="shared" si="6"/>
        <v>450</v>
      </c>
      <c r="P87" s="127">
        <f t="shared" si="7"/>
        <v>1450</v>
      </c>
      <c r="Q87" s="127">
        <f t="shared" si="8"/>
        <v>689.6551724137931</v>
      </c>
      <c r="R87" s="127">
        <f t="shared" si="9"/>
        <v>310.34482758620686</v>
      </c>
      <c r="S87" s="128">
        <f t="shared" si="10"/>
        <v>12.965517241379311</v>
      </c>
      <c r="T87" s="128">
        <f t="shared" si="11"/>
        <v>12.26531724137931</v>
      </c>
      <c r="U87" s="128">
        <f t="shared" si="12"/>
        <v>3.409758193103449</v>
      </c>
      <c r="V87" s="127">
        <f t="shared" si="13"/>
        <v>436.013986013986</v>
      </c>
      <c r="W87" s="129">
        <f>430+(430*M87/100)</f>
        <v>623.5</v>
      </c>
      <c r="X87" s="130">
        <f t="shared" si="14"/>
        <v>249.4</v>
      </c>
      <c r="Y87" s="131">
        <f t="shared" si="15"/>
        <v>0.8503936933600001</v>
      </c>
      <c r="Z87" s="105"/>
    </row>
    <row r="88" spans="12:26" ht="15" hidden="1">
      <c r="L88" s="125" t="s">
        <v>54</v>
      </c>
      <c r="M88" s="120">
        <v>25</v>
      </c>
      <c r="N88" s="126">
        <v>20</v>
      </c>
      <c r="O88" s="127">
        <f t="shared" si="6"/>
        <v>250</v>
      </c>
      <c r="P88" s="127">
        <f t="shared" si="7"/>
        <v>1250</v>
      </c>
      <c r="Q88" s="127">
        <f t="shared" si="8"/>
        <v>800</v>
      </c>
      <c r="R88" s="127">
        <f t="shared" si="9"/>
        <v>200</v>
      </c>
      <c r="S88" s="128">
        <f t="shared" si="10"/>
        <v>15.040000000000001</v>
      </c>
      <c r="T88" s="128">
        <f t="shared" si="11"/>
        <v>14.588760000000002</v>
      </c>
      <c r="U88" s="128">
        <f t="shared" si="12"/>
        <v>4.055675280000001</v>
      </c>
      <c r="V88" s="127">
        <f t="shared" si="13"/>
        <v>489.51048951048955</v>
      </c>
      <c r="W88" s="129">
        <f aca="true" t="shared" si="16" ref="W88:W98">560+(560*M88/100)</f>
        <v>700</v>
      </c>
      <c r="X88" s="130">
        <f t="shared" si="14"/>
        <v>280</v>
      </c>
      <c r="Y88" s="131">
        <f t="shared" si="15"/>
        <v>1.1355890784000002</v>
      </c>
      <c r="Z88" s="105"/>
    </row>
    <row r="89" spans="12:26" ht="15" hidden="1">
      <c r="L89" s="125" t="s">
        <v>54</v>
      </c>
      <c r="M89" s="120">
        <v>30</v>
      </c>
      <c r="N89" s="126">
        <v>20</v>
      </c>
      <c r="O89" s="127">
        <f t="shared" si="6"/>
        <v>300</v>
      </c>
      <c r="P89" s="127">
        <f t="shared" si="7"/>
        <v>1300</v>
      </c>
      <c r="Q89" s="127">
        <f t="shared" si="8"/>
        <v>769.2307692307693</v>
      </c>
      <c r="R89" s="127">
        <f t="shared" si="9"/>
        <v>230.76923076923072</v>
      </c>
      <c r="S89" s="128">
        <f t="shared" si="10"/>
        <v>14.461538461538463</v>
      </c>
      <c r="T89" s="128">
        <f t="shared" si="11"/>
        <v>13.940876923076924</v>
      </c>
      <c r="U89" s="128">
        <f t="shared" si="12"/>
        <v>3.875563784615385</v>
      </c>
      <c r="V89" s="127">
        <f t="shared" si="13"/>
        <v>509.0909090909091</v>
      </c>
      <c r="W89" s="129">
        <f t="shared" si="16"/>
        <v>728</v>
      </c>
      <c r="X89" s="130">
        <f t="shared" si="14"/>
        <v>291.2</v>
      </c>
      <c r="Y89" s="131">
        <f t="shared" si="15"/>
        <v>1.12856417408</v>
      </c>
      <c r="Z89" s="105"/>
    </row>
    <row r="90" spans="12:26" ht="15" hidden="1">
      <c r="L90" s="125" t="s">
        <v>54</v>
      </c>
      <c r="M90" s="120">
        <v>35</v>
      </c>
      <c r="N90" s="126">
        <v>20</v>
      </c>
      <c r="O90" s="127">
        <f t="shared" si="6"/>
        <v>350</v>
      </c>
      <c r="P90" s="127">
        <f t="shared" si="7"/>
        <v>1350</v>
      </c>
      <c r="Q90" s="127">
        <f t="shared" si="8"/>
        <v>740.7407407407408</v>
      </c>
      <c r="R90" s="127">
        <f t="shared" si="9"/>
        <v>259.25925925925924</v>
      </c>
      <c r="S90" s="128">
        <f t="shared" si="10"/>
        <v>13.925925925925927</v>
      </c>
      <c r="T90" s="128">
        <f t="shared" si="11"/>
        <v>13.340985185185186</v>
      </c>
      <c r="U90" s="128">
        <f t="shared" si="12"/>
        <v>3.708793881481482</v>
      </c>
      <c r="V90" s="127">
        <f t="shared" si="13"/>
        <v>528.6713286713286</v>
      </c>
      <c r="W90" s="129">
        <f t="shared" si="16"/>
        <v>756</v>
      </c>
      <c r="X90" s="130">
        <f t="shared" si="14"/>
        <v>302.4</v>
      </c>
      <c r="Y90" s="131">
        <f t="shared" si="15"/>
        <v>1.12153926976</v>
      </c>
      <c r="Z90" s="105"/>
    </row>
    <row r="91" spans="12:26" ht="15" hidden="1">
      <c r="L91" s="125" t="s">
        <v>54</v>
      </c>
      <c r="M91" s="120">
        <v>40</v>
      </c>
      <c r="N91" s="126">
        <v>20</v>
      </c>
      <c r="O91" s="127">
        <f t="shared" si="6"/>
        <v>400</v>
      </c>
      <c r="P91" s="127">
        <f t="shared" si="7"/>
        <v>1400</v>
      </c>
      <c r="Q91" s="127">
        <f t="shared" si="8"/>
        <v>714.2857142857143</v>
      </c>
      <c r="R91" s="127">
        <f t="shared" si="9"/>
        <v>285.71428571428567</v>
      </c>
      <c r="S91" s="128">
        <f t="shared" si="10"/>
        <v>13.428571428571429</v>
      </c>
      <c r="T91" s="128">
        <f t="shared" si="11"/>
        <v>12.783942857142858</v>
      </c>
      <c r="U91" s="128">
        <f t="shared" si="12"/>
        <v>3.553936114285715</v>
      </c>
      <c r="V91" s="127">
        <f t="shared" si="13"/>
        <v>548.2517482517483</v>
      </c>
      <c r="W91" s="129">
        <f t="shared" si="16"/>
        <v>784</v>
      </c>
      <c r="X91" s="130">
        <f t="shared" si="14"/>
        <v>313.6</v>
      </c>
      <c r="Y91" s="131">
        <f t="shared" si="15"/>
        <v>1.1145143654400003</v>
      </c>
      <c r="Z91" s="105"/>
    </row>
    <row r="92" spans="12:26" ht="15" hidden="1">
      <c r="L92" s="125" t="s">
        <v>54</v>
      </c>
      <c r="M92" s="120">
        <v>45</v>
      </c>
      <c r="N92" s="126">
        <v>20</v>
      </c>
      <c r="O92" s="127">
        <f t="shared" si="6"/>
        <v>450</v>
      </c>
      <c r="P92" s="127">
        <f t="shared" si="7"/>
        <v>1450</v>
      </c>
      <c r="Q92" s="127">
        <f t="shared" si="8"/>
        <v>689.6551724137931</v>
      </c>
      <c r="R92" s="127">
        <f t="shared" si="9"/>
        <v>310.34482758620686</v>
      </c>
      <c r="S92" s="128">
        <f t="shared" si="10"/>
        <v>12.965517241379311</v>
      </c>
      <c r="T92" s="128">
        <f t="shared" si="11"/>
        <v>12.26531724137931</v>
      </c>
      <c r="U92" s="128">
        <f t="shared" si="12"/>
        <v>3.409758193103449</v>
      </c>
      <c r="V92" s="127">
        <f t="shared" si="13"/>
        <v>567.8321678321679</v>
      </c>
      <c r="W92" s="129">
        <f t="shared" si="16"/>
        <v>812</v>
      </c>
      <c r="X92" s="130">
        <f t="shared" si="14"/>
        <v>324.8</v>
      </c>
      <c r="Y92" s="131">
        <f t="shared" si="15"/>
        <v>1.1074894611200001</v>
      </c>
      <c r="Z92" s="105"/>
    </row>
    <row r="93" spans="12:26" ht="15" hidden="1">
      <c r="L93" s="125" t="s">
        <v>4</v>
      </c>
      <c r="M93" s="120">
        <v>25</v>
      </c>
      <c r="N93" s="126">
        <v>20</v>
      </c>
      <c r="O93" s="127">
        <f t="shared" si="6"/>
        <v>250</v>
      </c>
      <c r="P93" s="127">
        <f t="shared" si="7"/>
        <v>1250</v>
      </c>
      <c r="Q93" s="127">
        <f t="shared" si="8"/>
        <v>800</v>
      </c>
      <c r="R93" s="127">
        <f t="shared" si="9"/>
        <v>200</v>
      </c>
      <c r="S93" s="128">
        <f t="shared" si="10"/>
        <v>15.040000000000001</v>
      </c>
      <c r="T93" s="128">
        <f t="shared" si="11"/>
        <v>14.588760000000002</v>
      </c>
      <c r="U93" s="128">
        <f t="shared" si="12"/>
        <v>4.055675280000001</v>
      </c>
      <c r="V93" s="127">
        <f t="shared" si="13"/>
        <v>489.51048951048955</v>
      </c>
      <c r="W93" s="129">
        <f t="shared" si="16"/>
        <v>700</v>
      </c>
      <c r="X93" s="130">
        <f t="shared" si="14"/>
        <v>280</v>
      </c>
      <c r="Y93" s="131">
        <f t="shared" si="15"/>
        <v>1.1355890784000002</v>
      </c>
      <c r="Z93" s="105"/>
    </row>
    <row r="94" spans="12:26" ht="15" hidden="1">
      <c r="L94" s="125" t="s">
        <v>4</v>
      </c>
      <c r="M94" s="120">
        <v>30</v>
      </c>
      <c r="N94" s="126">
        <v>20</v>
      </c>
      <c r="O94" s="127">
        <f t="shared" si="6"/>
        <v>300</v>
      </c>
      <c r="P94" s="127">
        <f t="shared" si="7"/>
        <v>1300</v>
      </c>
      <c r="Q94" s="127">
        <f t="shared" si="8"/>
        <v>769.2307692307693</v>
      </c>
      <c r="R94" s="127">
        <f t="shared" si="9"/>
        <v>230.76923076923072</v>
      </c>
      <c r="S94" s="128">
        <f t="shared" si="10"/>
        <v>14.461538461538463</v>
      </c>
      <c r="T94" s="128">
        <f t="shared" si="11"/>
        <v>13.940876923076924</v>
      </c>
      <c r="U94" s="128">
        <f t="shared" si="12"/>
        <v>3.875563784615385</v>
      </c>
      <c r="V94" s="127">
        <f t="shared" si="13"/>
        <v>509.0909090909091</v>
      </c>
      <c r="W94" s="129">
        <f t="shared" si="16"/>
        <v>728</v>
      </c>
      <c r="X94" s="130">
        <f t="shared" si="14"/>
        <v>291.2</v>
      </c>
      <c r="Y94" s="131">
        <f t="shared" si="15"/>
        <v>1.12856417408</v>
      </c>
      <c r="Z94" s="105"/>
    </row>
    <row r="95" spans="12:26" ht="15" hidden="1">
      <c r="L95" s="125" t="s">
        <v>4</v>
      </c>
      <c r="M95" s="120">
        <v>35</v>
      </c>
      <c r="N95" s="126">
        <v>20</v>
      </c>
      <c r="O95" s="127">
        <f t="shared" si="6"/>
        <v>350</v>
      </c>
      <c r="P95" s="127">
        <f t="shared" si="7"/>
        <v>1350</v>
      </c>
      <c r="Q95" s="127">
        <f t="shared" si="8"/>
        <v>740.7407407407408</v>
      </c>
      <c r="R95" s="127">
        <f t="shared" si="9"/>
        <v>259.25925925925924</v>
      </c>
      <c r="S95" s="128">
        <f t="shared" si="10"/>
        <v>13.925925925925927</v>
      </c>
      <c r="T95" s="128">
        <f t="shared" si="11"/>
        <v>13.340985185185186</v>
      </c>
      <c r="U95" s="128">
        <f t="shared" si="12"/>
        <v>3.708793881481482</v>
      </c>
      <c r="V95" s="127">
        <f t="shared" si="13"/>
        <v>528.6713286713286</v>
      </c>
      <c r="W95" s="129">
        <f t="shared" si="16"/>
        <v>756</v>
      </c>
      <c r="X95" s="130">
        <f t="shared" si="14"/>
        <v>302.4</v>
      </c>
      <c r="Y95" s="131">
        <f t="shared" si="15"/>
        <v>1.12153926976</v>
      </c>
      <c r="Z95" s="105"/>
    </row>
    <row r="96" spans="12:26" ht="15" hidden="1">
      <c r="L96" s="125" t="s">
        <v>4</v>
      </c>
      <c r="M96" s="120">
        <v>40</v>
      </c>
      <c r="N96" s="126">
        <v>20</v>
      </c>
      <c r="O96" s="127">
        <f t="shared" si="6"/>
        <v>400</v>
      </c>
      <c r="P96" s="127">
        <f t="shared" si="7"/>
        <v>1400</v>
      </c>
      <c r="Q96" s="127">
        <f t="shared" si="8"/>
        <v>714.2857142857143</v>
      </c>
      <c r="R96" s="127">
        <f t="shared" si="9"/>
        <v>285.71428571428567</v>
      </c>
      <c r="S96" s="128">
        <f t="shared" si="10"/>
        <v>13.428571428571429</v>
      </c>
      <c r="T96" s="128">
        <f t="shared" si="11"/>
        <v>12.783942857142858</v>
      </c>
      <c r="U96" s="128">
        <f t="shared" si="12"/>
        <v>3.553936114285715</v>
      </c>
      <c r="V96" s="127">
        <f t="shared" si="13"/>
        <v>548.2517482517483</v>
      </c>
      <c r="W96" s="129">
        <f t="shared" si="16"/>
        <v>784</v>
      </c>
      <c r="X96" s="130">
        <f t="shared" si="14"/>
        <v>313.6</v>
      </c>
      <c r="Y96" s="131">
        <f t="shared" si="15"/>
        <v>1.1145143654400003</v>
      </c>
      <c r="Z96" s="105"/>
    </row>
    <row r="97" spans="12:26" ht="15" hidden="1">
      <c r="L97" s="125" t="s">
        <v>4</v>
      </c>
      <c r="M97" s="120">
        <v>45</v>
      </c>
      <c r="N97" s="126">
        <v>20</v>
      </c>
      <c r="O97" s="127">
        <f t="shared" si="6"/>
        <v>450</v>
      </c>
      <c r="P97" s="127">
        <f t="shared" si="7"/>
        <v>1450</v>
      </c>
      <c r="Q97" s="127">
        <f t="shared" si="8"/>
        <v>689.6551724137931</v>
      </c>
      <c r="R97" s="127">
        <f t="shared" si="9"/>
        <v>310.34482758620686</v>
      </c>
      <c r="S97" s="128">
        <f t="shared" si="10"/>
        <v>12.965517241379311</v>
      </c>
      <c r="T97" s="128">
        <f t="shared" si="11"/>
        <v>12.26531724137931</v>
      </c>
      <c r="U97" s="128">
        <f t="shared" si="12"/>
        <v>3.409758193103449</v>
      </c>
      <c r="V97" s="127">
        <f t="shared" si="13"/>
        <v>567.8321678321679</v>
      </c>
      <c r="W97" s="129">
        <f t="shared" si="16"/>
        <v>812</v>
      </c>
      <c r="X97" s="130">
        <f t="shared" si="14"/>
        <v>324.8</v>
      </c>
      <c r="Y97" s="131">
        <f t="shared" si="15"/>
        <v>1.1074894611200001</v>
      </c>
      <c r="Z97" s="105"/>
    </row>
    <row r="98" spans="12:26" ht="15" hidden="1">
      <c r="L98" s="125" t="s">
        <v>0</v>
      </c>
      <c r="M98" s="120">
        <v>10</v>
      </c>
      <c r="N98" s="126">
        <v>9</v>
      </c>
      <c r="O98" s="127">
        <f t="shared" si="6"/>
        <v>100</v>
      </c>
      <c r="P98" s="127">
        <f t="shared" si="7"/>
        <v>1100</v>
      </c>
      <c r="Q98" s="127">
        <f>1000*1000/P98</f>
        <v>909.0909090909091</v>
      </c>
      <c r="R98" s="127">
        <f t="shared" si="9"/>
        <v>90.90909090909088</v>
      </c>
      <c r="S98" s="128">
        <f>18.81*(Q98/1000)</f>
        <v>17.1</v>
      </c>
      <c r="T98" s="128">
        <f t="shared" si="11"/>
        <v>16.894890909090908</v>
      </c>
      <c r="U98" s="128">
        <f t="shared" si="12"/>
        <v>4.696779672727272</v>
      </c>
      <c r="V98" s="127">
        <f t="shared" si="13"/>
        <v>430.7692307692308</v>
      </c>
      <c r="W98" s="129">
        <f t="shared" si="16"/>
        <v>616</v>
      </c>
      <c r="X98" s="130">
        <f t="shared" si="14"/>
        <v>246.4</v>
      </c>
      <c r="Y98" s="131">
        <f t="shared" si="15"/>
        <v>1.15728651136</v>
      </c>
      <c r="Z98" s="105"/>
    </row>
    <row r="99" spans="12:26" ht="15" hidden="1"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7"/>
      <c r="W99" s="105"/>
      <c r="X99" s="105"/>
      <c r="Y99" s="105"/>
      <c r="Z99" s="105"/>
    </row>
    <row r="100" spans="12:26" ht="15" hidden="1"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7"/>
      <c r="W100" s="105"/>
      <c r="X100" s="105"/>
      <c r="Y100" s="105"/>
      <c r="Z100" s="105"/>
    </row>
    <row r="101" spans="12:26" ht="15" hidden="1"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7"/>
      <c r="W101" s="105"/>
      <c r="X101" s="105"/>
      <c r="Y101" s="105"/>
      <c r="Z101" s="105"/>
    </row>
    <row r="102" spans="12:26" ht="15" hidden="1"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100"/>
      <c r="W102" s="99"/>
      <c r="X102" s="99"/>
      <c r="Y102" s="99"/>
      <c r="Z102" s="99"/>
    </row>
    <row r="103" spans="12:26" ht="15" hidden="1"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100"/>
      <c r="W103" s="99"/>
      <c r="X103" s="99"/>
      <c r="Y103" s="99"/>
      <c r="Z103" s="99"/>
    </row>
    <row r="104" spans="12:26" ht="15" hidden="1"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100"/>
      <c r="W104" s="99"/>
      <c r="X104" s="99"/>
      <c r="Y104" s="99"/>
      <c r="Z104" s="99"/>
    </row>
    <row r="105" spans="12:26" ht="15" hidden="1"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100"/>
      <c r="W105" s="99"/>
      <c r="X105" s="99"/>
      <c r="Y105" s="99"/>
      <c r="Z105" s="99"/>
    </row>
    <row r="106" spans="12:26" ht="15" hidden="1"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100"/>
      <c r="W106" s="99"/>
      <c r="X106" s="99"/>
      <c r="Y106" s="99"/>
      <c r="Z106" s="99"/>
    </row>
    <row r="107" spans="12:26" ht="15" hidden="1"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100"/>
      <c r="W107" s="99"/>
      <c r="X107" s="99"/>
      <c r="Y107" s="99"/>
      <c r="Z107" s="99"/>
    </row>
    <row r="108" spans="12:26" ht="15" hidden="1"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100"/>
      <c r="W108" s="99"/>
      <c r="X108" s="99"/>
      <c r="Y108" s="99"/>
      <c r="Z108" s="99"/>
    </row>
    <row r="109" spans="12:26" ht="15" hidden="1"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100"/>
      <c r="W109" s="99"/>
      <c r="X109" s="99"/>
      <c r="Y109" s="99"/>
      <c r="Z109" s="99"/>
    </row>
    <row r="110" spans="12:26" ht="15" hidden="1"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100"/>
      <c r="W110" s="99"/>
      <c r="X110" s="99"/>
      <c r="Y110" s="99"/>
      <c r="Z110" s="99"/>
    </row>
    <row r="111" spans="12:26" ht="15" hidden="1"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100"/>
      <c r="W111" s="99"/>
      <c r="X111" s="99"/>
      <c r="Y111" s="99"/>
      <c r="Z111" s="99"/>
    </row>
    <row r="112" spans="12:26" ht="15" hidden="1"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100"/>
      <c r="W112" s="99"/>
      <c r="X112" s="99"/>
      <c r="Y112" s="99"/>
      <c r="Z112" s="99"/>
    </row>
    <row r="113" spans="12:26" ht="15" hidden="1"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100"/>
      <c r="W113" s="99"/>
      <c r="X113" s="99"/>
      <c r="Y113" s="99"/>
      <c r="Z113" s="99"/>
    </row>
    <row r="114" spans="12:26" ht="15" hidden="1">
      <c r="L114" s="125"/>
      <c r="M114" s="120"/>
      <c r="N114" s="126"/>
      <c r="O114" s="127"/>
      <c r="P114" s="127"/>
      <c r="Q114" s="127"/>
      <c r="R114" s="127"/>
      <c r="S114" s="128"/>
      <c r="T114" s="128"/>
      <c r="U114" s="128"/>
      <c r="V114" s="127"/>
      <c r="W114" s="129"/>
      <c r="X114" s="130"/>
      <c r="Y114" s="131"/>
      <c r="Z114" s="99"/>
    </row>
    <row r="115" spans="12:26" ht="15" hidden="1">
      <c r="L115" s="125"/>
      <c r="M115" s="120"/>
      <c r="N115" s="126"/>
      <c r="O115" s="127"/>
      <c r="P115" s="127"/>
      <c r="Q115" s="127"/>
      <c r="R115" s="127"/>
      <c r="S115" s="128"/>
      <c r="T115" s="128"/>
      <c r="U115" s="128"/>
      <c r="V115" s="127"/>
      <c r="W115" s="129"/>
      <c r="X115" s="130"/>
      <c r="Y115" s="131"/>
      <c r="Z115" s="99"/>
    </row>
    <row r="116" spans="12:26" ht="15" hidden="1">
      <c r="L116" s="125"/>
      <c r="M116" s="120"/>
      <c r="N116" s="126"/>
      <c r="O116" s="127"/>
      <c r="P116" s="127"/>
      <c r="Q116" s="127"/>
      <c r="R116" s="127"/>
      <c r="S116" s="128"/>
      <c r="T116" s="128"/>
      <c r="U116" s="128"/>
      <c r="V116" s="127"/>
      <c r="W116" s="129"/>
      <c r="X116" s="130"/>
      <c r="Y116" s="131"/>
      <c r="Z116" s="99"/>
    </row>
    <row r="117" spans="12:26" ht="15" hidden="1">
      <c r="L117" s="125"/>
      <c r="M117" s="120"/>
      <c r="N117" s="126"/>
      <c r="O117" s="127"/>
      <c r="P117" s="127"/>
      <c r="Q117" s="127"/>
      <c r="R117" s="127"/>
      <c r="S117" s="128"/>
      <c r="T117" s="128"/>
      <c r="U117" s="128"/>
      <c r="V117" s="127"/>
      <c r="W117" s="129"/>
      <c r="X117" s="130"/>
      <c r="Y117" s="131"/>
      <c r="Z117" s="99"/>
    </row>
    <row r="118" spans="12:26" ht="15" hidden="1">
      <c r="L118" s="120"/>
      <c r="M118" s="121"/>
      <c r="N118" s="121"/>
      <c r="O118" s="122"/>
      <c r="P118" s="122"/>
      <c r="Q118" s="122"/>
      <c r="R118" s="122"/>
      <c r="S118" s="122"/>
      <c r="T118" s="122"/>
      <c r="U118" s="122"/>
      <c r="V118" s="122"/>
      <c r="W118" s="123"/>
      <c r="X118" s="124"/>
      <c r="Y118" s="122"/>
      <c r="Z118" s="99"/>
    </row>
    <row r="119" spans="12:26" ht="15" hidden="1">
      <c r="L119" s="99"/>
      <c r="M119" s="99"/>
      <c r="N119" s="99"/>
      <c r="O119" s="99"/>
      <c r="P119" s="99"/>
      <c r="Q119" s="99"/>
      <c r="R119" s="99"/>
      <c r="S119" s="105"/>
      <c r="T119" s="105"/>
      <c r="U119" s="105"/>
      <c r="V119" s="107"/>
      <c r="W119" s="105"/>
      <c r="X119" s="105"/>
      <c r="Y119" s="105"/>
      <c r="Z119" s="99"/>
    </row>
    <row r="120" spans="12:26" ht="15" hidden="1">
      <c r="L120" s="99"/>
      <c r="M120" s="99"/>
      <c r="N120" s="99"/>
      <c r="O120" s="99"/>
      <c r="P120" s="99"/>
      <c r="Q120" s="99"/>
      <c r="R120" s="99"/>
      <c r="S120" s="105"/>
      <c r="T120" s="105"/>
      <c r="U120" s="105"/>
      <c r="V120" s="107"/>
      <c r="W120" s="105"/>
      <c r="X120" s="105"/>
      <c r="Y120" s="105"/>
      <c r="Z120" s="99"/>
    </row>
    <row r="121" spans="12:26" ht="15" hidden="1"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100"/>
      <c r="W121" s="99"/>
      <c r="X121" s="99"/>
      <c r="Y121" s="99"/>
      <c r="Z121" s="99"/>
    </row>
    <row r="122" spans="12:26" ht="15" hidden="1"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100"/>
      <c r="W122" s="99"/>
      <c r="X122" s="99"/>
      <c r="Y122" s="99"/>
      <c r="Z122" s="99"/>
    </row>
    <row r="123" spans="12:26" ht="15" hidden="1">
      <c r="L123" s="99"/>
      <c r="M123" s="99"/>
      <c r="N123" s="99"/>
      <c r="O123" s="99"/>
      <c r="P123" s="99"/>
      <c r="Q123" s="99"/>
      <c r="R123" s="105"/>
      <c r="S123" s="105"/>
      <c r="T123" s="105"/>
      <c r="U123" s="105"/>
      <c r="V123" s="107"/>
      <c r="W123" s="105"/>
      <c r="X123" s="105"/>
      <c r="Y123" s="105"/>
      <c r="Z123" s="99"/>
    </row>
    <row r="124" spans="18:25" ht="15" hidden="1">
      <c r="R124" s="30"/>
      <c r="S124" s="30"/>
      <c r="T124" s="30"/>
      <c r="U124" s="30"/>
      <c r="V124" s="24"/>
      <c r="W124" s="30"/>
      <c r="X124" s="30"/>
      <c r="Y124" s="30"/>
    </row>
    <row r="125" spans="18:25" ht="15" hidden="1">
      <c r="R125" s="30"/>
      <c r="S125" s="30"/>
      <c r="T125" s="30"/>
      <c r="U125" s="30"/>
      <c r="V125" s="24"/>
      <c r="W125" s="30"/>
      <c r="X125" s="30"/>
      <c r="Y125" s="30"/>
    </row>
    <row r="126" spans="18:25" ht="15" hidden="1">
      <c r="R126" s="30"/>
      <c r="S126" s="30"/>
      <c r="T126" s="30"/>
      <c r="U126" s="30"/>
      <c r="V126" s="24"/>
      <c r="W126" s="30"/>
      <c r="X126" s="30"/>
      <c r="Y126" s="30"/>
    </row>
    <row r="127" spans="12:25" ht="15" hidden="1">
      <c r="L127" s="120"/>
      <c r="M127" s="121"/>
      <c r="N127" s="121"/>
      <c r="O127" s="122"/>
      <c r="P127" s="122"/>
      <c r="Q127" s="122"/>
      <c r="R127" s="122"/>
      <c r="S127" s="122"/>
      <c r="T127" s="122"/>
      <c r="U127" s="122"/>
      <c r="V127" s="122"/>
      <c r="W127" s="123"/>
      <c r="X127" s="124"/>
      <c r="Y127" s="122"/>
    </row>
    <row r="128" spans="18:25" ht="15" hidden="1">
      <c r="R128" s="30"/>
      <c r="S128" s="30"/>
      <c r="T128" s="30"/>
      <c r="U128" s="30"/>
      <c r="V128" s="24"/>
      <c r="W128" s="30"/>
      <c r="X128" s="30"/>
      <c r="Y128" s="30"/>
    </row>
    <row r="129" spans="18:25" ht="15" hidden="1">
      <c r="R129" s="30"/>
      <c r="S129" s="30"/>
      <c r="T129" s="30"/>
      <c r="U129" s="30"/>
      <c r="V129" s="24"/>
      <c r="W129" s="30"/>
      <c r="X129" s="30"/>
      <c r="Y129" s="30"/>
    </row>
    <row r="130" spans="18:25" ht="15" hidden="1">
      <c r="R130" s="30"/>
      <c r="S130" s="30"/>
      <c r="T130" s="30"/>
      <c r="U130" s="30"/>
      <c r="V130" s="24"/>
      <c r="W130" s="30"/>
      <c r="X130" s="30"/>
      <c r="Y130" s="30"/>
    </row>
    <row r="131" spans="18:25" ht="15" hidden="1">
      <c r="R131" s="30"/>
      <c r="S131" s="30"/>
      <c r="T131" s="30"/>
      <c r="U131" s="30"/>
      <c r="V131" s="24"/>
      <c r="W131" s="30"/>
      <c r="X131" s="30"/>
      <c r="Y131" s="30"/>
    </row>
    <row r="132" spans="18:25" ht="15" hidden="1">
      <c r="R132" s="30"/>
      <c r="S132" s="30"/>
      <c r="T132" s="30"/>
      <c r="U132" s="30"/>
      <c r="V132" s="24"/>
      <c r="W132" s="30"/>
      <c r="X132" s="30"/>
      <c r="Y132" s="30"/>
    </row>
    <row r="133" spans="18:25" ht="15" hidden="1">
      <c r="R133" s="30"/>
      <c r="S133" s="30"/>
      <c r="T133" s="30"/>
      <c r="U133" s="30"/>
      <c r="V133" s="24"/>
      <c r="W133" s="30"/>
      <c r="X133" s="30"/>
      <c r="Y133" s="30"/>
    </row>
    <row r="134" spans="18:25" ht="15" hidden="1">
      <c r="R134" s="30"/>
      <c r="S134" s="30"/>
      <c r="T134" s="30"/>
      <c r="U134" s="30"/>
      <c r="V134" s="24"/>
      <c r="W134" s="30"/>
      <c r="X134" s="30"/>
      <c r="Y134" s="30"/>
    </row>
    <row r="135" spans="12:25" ht="15" hidden="1">
      <c r="L135" s="120"/>
      <c r="M135" s="121"/>
      <c r="N135" s="121"/>
      <c r="O135" s="122"/>
      <c r="P135" s="122"/>
      <c r="Q135" s="122"/>
      <c r="R135" s="122"/>
      <c r="S135" s="122"/>
      <c r="T135" s="122"/>
      <c r="U135" s="122"/>
      <c r="V135" s="122"/>
      <c r="W135" s="123"/>
      <c r="X135" s="124"/>
      <c r="Y135" s="122"/>
    </row>
    <row r="136" spans="18:25" ht="15" hidden="1">
      <c r="R136" s="30"/>
      <c r="S136" s="30"/>
      <c r="T136" s="30"/>
      <c r="U136" s="30"/>
      <c r="V136" s="24"/>
      <c r="W136" s="30"/>
      <c r="X136" s="30"/>
      <c r="Y136" s="30"/>
    </row>
    <row r="137" spans="18:25" ht="15" hidden="1">
      <c r="R137" s="30"/>
      <c r="S137" s="30"/>
      <c r="T137" s="30"/>
      <c r="U137" s="30"/>
      <c r="V137" s="24"/>
      <c r="W137" s="30"/>
      <c r="X137" s="30"/>
      <c r="Y137" s="30"/>
    </row>
    <row r="138" spans="18:25" ht="15" hidden="1">
      <c r="R138" s="30"/>
      <c r="S138" s="30"/>
      <c r="T138" s="30"/>
      <c r="U138" s="30"/>
      <c r="V138" s="24"/>
      <c r="W138" s="30"/>
      <c r="X138" s="30"/>
      <c r="Y138" s="30"/>
    </row>
    <row r="139" spans="18:25" ht="15" hidden="1">
      <c r="R139" s="30"/>
      <c r="S139" s="30"/>
      <c r="T139" s="30"/>
      <c r="U139" s="30"/>
      <c r="V139" s="24"/>
      <c r="W139" s="30"/>
      <c r="X139" s="30"/>
      <c r="Y139" s="30"/>
    </row>
    <row r="140" spans="18:25" ht="15" hidden="1">
      <c r="R140" s="30"/>
      <c r="S140" s="30"/>
      <c r="T140" s="30"/>
      <c r="U140" s="30"/>
      <c r="V140" s="24"/>
      <c r="W140" s="30"/>
      <c r="X140" s="30"/>
      <c r="Y140" s="30"/>
    </row>
    <row r="141" spans="18:25" ht="15" hidden="1">
      <c r="R141" s="30"/>
      <c r="S141" s="30"/>
      <c r="T141" s="30"/>
      <c r="U141" s="30"/>
      <c r="V141" s="24"/>
      <c r="W141" s="30"/>
      <c r="X141" s="30"/>
      <c r="Y141" s="30"/>
    </row>
    <row r="142" spans="18:25" ht="15" hidden="1">
      <c r="R142" s="30"/>
      <c r="S142" s="30"/>
      <c r="T142" s="30"/>
      <c r="U142" s="30"/>
      <c r="V142" s="24"/>
      <c r="W142" s="30"/>
      <c r="X142" s="30"/>
      <c r="Y142" s="30"/>
    </row>
    <row r="143" spans="18:25" ht="15" hidden="1">
      <c r="R143" s="30"/>
      <c r="S143" s="30"/>
      <c r="T143" s="30"/>
      <c r="U143" s="30"/>
      <c r="V143" s="24"/>
      <c r="W143" s="30"/>
      <c r="X143" s="30"/>
      <c r="Y143" s="30"/>
    </row>
    <row r="144" spans="12:25" ht="15" hidden="1">
      <c r="L144" s="120"/>
      <c r="M144" s="121"/>
      <c r="N144" s="121"/>
      <c r="O144" s="122"/>
      <c r="P144" s="122"/>
      <c r="Q144" s="122"/>
      <c r="R144" s="122"/>
      <c r="S144" s="122"/>
      <c r="T144" s="122"/>
      <c r="U144" s="122"/>
      <c r="V144" s="122"/>
      <c r="W144" s="123"/>
      <c r="X144" s="124"/>
      <c r="Y144" s="122"/>
    </row>
    <row r="145" spans="18:25" ht="15" hidden="1">
      <c r="R145" s="30"/>
      <c r="S145" s="30"/>
      <c r="T145" s="30"/>
      <c r="U145" s="30"/>
      <c r="V145" s="24"/>
      <c r="W145" s="30"/>
      <c r="X145" s="30"/>
      <c r="Y145" s="30"/>
    </row>
    <row r="146" spans="18:25" ht="15" hidden="1">
      <c r="R146" s="30"/>
      <c r="S146" s="30"/>
      <c r="T146" s="30"/>
      <c r="U146" s="30"/>
      <c r="V146" s="24"/>
      <c r="W146" s="30"/>
      <c r="X146" s="30"/>
      <c r="Y146" s="30"/>
    </row>
    <row r="147" spans="18:25" ht="15" hidden="1">
      <c r="R147" s="30"/>
      <c r="S147" s="30"/>
      <c r="T147" s="30"/>
      <c r="U147" s="30"/>
      <c r="V147" s="24"/>
      <c r="W147" s="30"/>
      <c r="X147" s="30"/>
      <c r="Y147" s="30"/>
    </row>
  </sheetData>
  <sheetProtection password="F5F3" sheet="1" selectLockedCells="1"/>
  <mergeCells count="10">
    <mergeCell ref="B67:H67"/>
    <mergeCell ref="C5:D5"/>
    <mergeCell ref="C17:C22"/>
    <mergeCell ref="C59:C64"/>
    <mergeCell ref="C53:C58"/>
    <mergeCell ref="C47:C52"/>
    <mergeCell ref="C41:C46"/>
    <mergeCell ref="C35:C40"/>
    <mergeCell ref="C29:C34"/>
    <mergeCell ref="C23:C28"/>
  </mergeCells>
  <dataValidations count="2">
    <dataValidation type="list" allowBlank="1" showInputMessage="1" showErrorMessage="1" sqref="C5">
      <formula1>$T$3:$T$20</formula1>
    </dataValidation>
    <dataValidation type="list" allowBlank="1" showInputMessage="1" showErrorMessage="1" sqref="D9">
      <formula1>$T$36:$T$39</formula1>
    </dataValidation>
  </dataValidations>
  <printOptions horizontalCentered="1"/>
  <pageMargins left="0.2362204724409449" right="0.2362204724409449" top="0" bottom="0.7480314960629921" header="0.31496062992125984" footer="0.31496062992125984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9"/>
  <sheetViews>
    <sheetView zoomScalePageLayoutView="0" workbookViewId="0" topLeftCell="A1">
      <selection activeCell="C5" sqref="C5:D5"/>
    </sheetView>
  </sheetViews>
  <sheetFormatPr defaultColWidth="0" defaultRowHeight="15" zeroHeight="1"/>
  <cols>
    <col min="1" max="1" width="8.7109375" style="1" customWidth="1"/>
    <col min="2" max="2" width="19.28125" style="1" customWidth="1"/>
    <col min="3" max="3" width="14.57421875" style="1" customWidth="1"/>
    <col min="4" max="5" width="13.421875" style="1" customWidth="1"/>
    <col min="6" max="6" width="14.28125" style="1" customWidth="1"/>
    <col min="7" max="7" width="15.7109375" style="1" customWidth="1"/>
    <col min="8" max="8" width="19.7109375" style="1" customWidth="1"/>
    <col min="9" max="9" width="15.28125" style="1" customWidth="1"/>
    <col min="10" max="10" width="11.421875" style="1" customWidth="1"/>
    <col min="11" max="11" width="8.7109375" style="1" customWidth="1"/>
    <col min="12" max="21" width="5.7109375" style="142" hidden="1" customWidth="1"/>
    <col min="22" max="23" width="5.7109375" style="167" hidden="1" customWidth="1"/>
    <col min="24" max="26" width="5.7109375" style="142" hidden="1" customWidth="1"/>
    <col min="27" max="16384" width="5.7109375" style="132" hidden="1" customWidth="1"/>
  </cols>
  <sheetData>
    <row r="1" spans="19:23" ht="15">
      <c r="S1" s="143"/>
      <c r="T1" s="143" t="s">
        <v>19</v>
      </c>
      <c r="U1" s="143" t="s">
        <v>43</v>
      </c>
      <c r="V1" s="144"/>
      <c r="W1" s="144"/>
    </row>
    <row r="2" spans="19:23" ht="15">
      <c r="S2" s="143"/>
      <c r="T2" s="143"/>
      <c r="U2" s="143"/>
      <c r="V2" s="144"/>
      <c r="W2" s="144"/>
    </row>
    <row r="3" spans="19:23" ht="15">
      <c r="S3" s="143"/>
      <c r="T3" s="143" t="s">
        <v>21</v>
      </c>
      <c r="U3" s="145">
        <v>16</v>
      </c>
      <c r="V3" s="144">
        <v>92</v>
      </c>
      <c r="W3" s="144"/>
    </row>
    <row r="4" spans="1:23" ht="15">
      <c r="A4" s="4"/>
      <c r="S4" s="143"/>
      <c r="T4" s="143" t="s">
        <v>22</v>
      </c>
      <c r="U4" s="145">
        <v>21</v>
      </c>
      <c r="V4" s="144">
        <v>92</v>
      </c>
      <c r="W4" s="144"/>
    </row>
    <row r="5" spans="1:23" ht="18.75">
      <c r="A5" s="4"/>
      <c r="B5" s="5" t="s">
        <v>81</v>
      </c>
      <c r="C5" s="210" t="s">
        <v>40</v>
      </c>
      <c r="D5" s="210"/>
      <c r="E5" s="219" t="s">
        <v>82</v>
      </c>
      <c r="F5" s="6"/>
      <c r="G5" s="6"/>
      <c r="S5" s="143"/>
      <c r="T5" s="143" t="s">
        <v>23</v>
      </c>
      <c r="U5" s="145">
        <v>30</v>
      </c>
      <c r="V5" s="144">
        <v>92</v>
      </c>
      <c r="W5" s="144"/>
    </row>
    <row r="6" spans="1:23" ht="18.75">
      <c r="A6" s="4"/>
      <c r="B6" s="7"/>
      <c r="C6" s="6"/>
      <c r="D6" s="6"/>
      <c r="E6" s="6"/>
      <c r="F6" s="6"/>
      <c r="G6" s="6"/>
      <c r="S6" s="143"/>
      <c r="T6" s="143" t="s">
        <v>24</v>
      </c>
      <c r="U6" s="145">
        <v>45</v>
      </c>
      <c r="V6" s="144">
        <v>92</v>
      </c>
      <c r="W6" s="144"/>
    </row>
    <row r="7" spans="1:23" ht="18.75">
      <c r="A7" s="4"/>
      <c r="B7" s="7" t="s">
        <v>88</v>
      </c>
      <c r="C7" s="6"/>
      <c r="D7" s="8">
        <f>VLOOKUP(C5,T3:U25,2,0)</f>
        <v>600</v>
      </c>
      <c r="E7" s="7" t="s">
        <v>44</v>
      </c>
      <c r="F7" s="6"/>
      <c r="G7" s="6"/>
      <c r="S7" s="143"/>
      <c r="T7" s="143" t="s">
        <v>25</v>
      </c>
      <c r="U7" s="145">
        <v>60</v>
      </c>
      <c r="V7" s="144">
        <v>92</v>
      </c>
      <c r="W7" s="144"/>
    </row>
    <row r="8" spans="1:23" ht="18.75">
      <c r="A8" s="4"/>
      <c r="B8" s="7"/>
      <c r="C8" s="6"/>
      <c r="D8" s="6"/>
      <c r="E8" s="6"/>
      <c r="F8" s="6"/>
      <c r="G8" s="6"/>
      <c r="K8" s="4"/>
      <c r="S8" s="143"/>
      <c r="T8" s="143" t="s">
        <v>20</v>
      </c>
      <c r="U8" s="145">
        <v>25</v>
      </c>
      <c r="V8" s="144">
        <v>91</v>
      </c>
      <c r="W8" s="144"/>
    </row>
    <row r="9" spans="1:23" ht="18.75">
      <c r="A9" s="4"/>
      <c r="B9" s="9" t="s">
        <v>101</v>
      </c>
      <c r="C9" s="211" t="s">
        <v>62</v>
      </c>
      <c r="D9" s="211"/>
      <c r="E9" s="220" t="s">
        <v>83</v>
      </c>
      <c r="F9" s="43" t="s">
        <v>0</v>
      </c>
      <c r="G9" s="10"/>
      <c r="H9" s="11"/>
      <c r="I9" s="11"/>
      <c r="J9" s="11"/>
      <c r="K9" s="4"/>
      <c r="S9" s="143"/>
      <c r="T9" s="143" t="s">
        <v>26</v>
      </c>
      <c r="U9" s="145">
        <v>35</v>
      </c>
      <c r="V9" s="144">
        <v>91</v>
      </c>
      <c r="W9" s="144"/>
    </row>
    <row r="10" spans="1:23" ht="18.75">
      <c r="A10" s="4"/>
      <c r="B10" s="7" t="s">
        <v>102</v>
      </c>
      <c r="C10" s="6"/>
      <c r="D10" s="6">
        <f>VLOOKUP(C9,T37:Z40,4,0)</f>
        <v>10</v>
      </c>
      <c r="E10" s="7" t="s">
        <v>58</v>
      </c>
      <c r="F10" s="6"/>
      <c r="G10" s="6"/>
      <c r="K10" s="4"/>
      <c r="S10" s="143"/>
      <c r="T10" s="143" t="s">
        <v>27</v>
      </c>
      <c r="U10" s="145">
        <v>45</v>
      </c>
      <c r="V10" s="144">
        <v>91</v>
      </c>
      <c r="W10" s="144"/>
    </row>
    <row r="11" spans="1:23" ht="18.75">
      <c r="A11" s="4"/>
      <c r="B11" s="7" t="s">
        <v>103</v>
      </c>
      <c r="C11" s="6"/>
      <c r="D11" s="6">
        <f>VLOOKUP(C9,T37:X40,2,0)</f>
        <v>18</v>
      </c>
      <c r="E11" s="7" t="s">
        <v>59</v>
      </c>
      <c r="F11" s="13">
        <f>D11/3.6</f>
        <v>5</v>
      </c>
      <c r="G11" s="7" t="s">
        <v>46</v>
      </c>
      <c r="K11" s="4"/>
      <c r="S11" s="143"/>
      <c r="T11" s="143" t="s">
        <v>28</v>
      </c>
      <c r="U11" s="145">
        <v>65</v>
      </c>
      <c r="V11" s="144">
        <v>91</v>
      </c>
      <c r="W11" s="144"/>
    </row>
    <row r="12" spans="1:23" ht="18.75">
      <c r="A12" s="4"/>
      <c r="B12" s="7" t="s">
        <v>104</v>
      </c>
      <c r="C12" s="6"/>
      <c r="D12" s="6">
        <f>VLOOKUP(C9,T37:X40,3,0)</f>
        <v>1120</v>
      </c>
      <c r="E12" s="7" t="s">
        <v>67</v>
      </c>
      <c r="F12" s="6"/>
      <c r="G12" s="6"/>
      <c r="K12" s="4"/>
      <c r="S12" s="143"/>
      <c r="T12" s="143" t="s">
        <v>29</v>
      </c>
      <c r="U12" s="145">
        <v>80</v>
      </c>
      <c r="V12" s="144">
        <v>91</v>
      </c>
      <c r="W12" s="144"/>
    </row>
    <row r="13" spans="1:23" ht="18.75">
      <c r="A13" s="4"/>
      <c r="B13" s="5" t="s">
        <v>105</v>
      </c>
      <c r="C13" s="14"/>
      <c r="D13" s="14">
        <f>VLOOKUP(C9,T37:X40,5,0)</f>
        <v>0.5</v>
      </c>
      <c r="E13" s="5" t="s">
        <v>58</v>
      </c>
      <c r="F13" s="14"/>
      <c r="G13" s="14"/>
      <c r="H13" s="15"/>
      <c r="I13" s="15"/>
      <c r="J13" s="15"/>
      <c r="K13" s="4"/>
      <c r="S13" s="143"/>
      <c r="T13" s="143" t="s">
        <v>30</v>
      </c>
      <c r="U13" s="145">
        <v>101</v>
      </c>
      <c r="V13" s="144">
        <v>91</v>
      </c>
      <c r="W13" s="144"/>
    </row>
    <row r="14" spans="2:23" ht="15">
      <c r="B14" s="212" t="s">
        <v>106</v>
      </c>
      <c r="C14" s="212"/>
      <c r="D14" s="212"/>
      <c r="E14" s="212"/>
      <c r="F14" s="212"/>
      <c r="K14" s="4"/>
      <c r="M14" s="146"/>
      <c r="N14" s="146"/>
      <c r="O14" s="146"/>
      <c r="P14" s="146"/>
      <c r="Q14" s="146"/>
      <c r="R14" s="146"/>
      <c r="S14" s="143"/>
      <c r="T14" s="143" t="s">
        <v>31</v>
      </c>
      <c r="U14" s="145">
        <v>130</v>
      </c>
      <c r="V14" s="144">
        <v>91</v>
      </c>
      <c r="W14" s="144"/>
    </row>
    <row r="15" spans="3:23" ht="15.75" thickBot="1">
      <c r="C15" s="17"/>
      <c r="D15" s="17"/>
      <c r="E15" s="17"/>
      <c r="F15" s="17"/>
      <c r="G15" s="17"/>
      <c r="H15" s="17"/>
      <c r="I15" s="17"/>
      <c r="J15" s="17"/>
      <c r="M15" s="147"/>
      <c r="N15" s="147"/>
      <c r="O15" s="147"/>
      <c r="P15" s="147"/>
      <c r="Q15" s="147"/>
      <c r="R15" s="147"/>
      <c r="S15" s="143"/>
      <c r="T15" s="143" t="s">
        <v>32</v>
      </c>
      <c r="U15" s="145">
        <v>150</v>
      </c>
      <c r="V15" s="144">
        <v>91</v>
      </c>
      <c r="W15" s="144"/>
    </row>
    <row r="16" spans="2:23" ht="46.5" thickBot="1" thickTop="1">
      <c r="B16" s="193" t="s">
        <v>86</v>
      </c>
      <c r="C16" s="193" t="s">
        <v>87</v>
      </c>
      <c r="D16" s="193" t="s">
        <v>94</v>
      </c>
      <c r="E16" s="193" t="s">
        <v>95</v>
      </c>
      <c r="F16" s="193" t="s">
        <v>96</v>
      </c>
      <c r="G16" s="193" t="s">
        <v>97</v>
      </c>
      <c r="H16" s="193" t="s">
        <v>98</v>
      </c>
      <c r="I16" s="193" t="s">
        <v>99</v>
      </c>
      <c r="J16" s="194" t="s">
        <v>100</v>
      </c>
      <c r="M16" s="148"/>
      <c r="N16" s="148"/>
      <c r="O16" s="148"/>
      <c r="P16" s="148"/>
      <c r="Q16" s="148"/>
      <c r="R16" s="148"/>
      <c r="S16" s="149"/>
      <c r="T16" s="143" t="s">
        <v>33</v>
      </c>
      <c r="U16" s="145">
        <v>220</v>
      </c>
      <c r="V16" s="144" t="s">
        <v>80</v>
      </c>
      <c r="W16" s="144"/>
    </row>
    <row r="17" spans="1:256" s="137" customFormat="1" ht="15.75" customHeight="1" thickBot="1" thickTop="1">
      <c r="A17" s="1"/>
      <c r="B17" s="18">
        <f>D7</f>
        <v>600</v>
      </c>
      <c r="C17" s="44">
        <v>100</v>
      </c>
      <c r="D17" s="18">
        <f>VLOOKUP(C9,T37:Z43,4,0)</f>
        <v>10</v>
      </c>
      <c r="E17" s="19">
        <f aca="true" t="shared" si="0" ref="E17:E24">100*D17/(100-D17)</f>
        <v>11.11111111111111</v>
      </c>
      <c r="F17" s="20">
        <f>F11</f>
        <v>5</v>
      </c>
      <c r="G17" s="21">
        <f>D12</f>
        <v>1120</v>
      </c>
      <c r="H17" s="21">
        <f>B17/($F$11*I17)*100</f>
        <v>130.43478260869566</v>
      </c>
      <c r="I17" s="19">
        <v>92</v>
      </c>
      <c r="J17" s="21">
        <f aca="true" t="shared" si="1" ref="J17:J24">(H17*$D$13)/100</f>
        <v>0.6521739130434783</v>
      </c>
      <c r="K17" s="22"/>
      <c r="L17" s="150"/>
      <c r="M17" s="151"/>
      <c r="N17" s="152"/>
      <c r="O17" s="153"/>
      <c r="P17" s="154"/>
      <c r="Q17" s="155"/>
      <c r="R17" s="156"/>
      <c r="S17" s="155"/>
      <c r="T17" s="143" t="s">
        <v>34</v>
      </c>
      <c r="U17" s="145">
        <v>250</v>
      </c>
      <c r="V17" s="144" t="s">
        <v>80</v>
      </c>
      <c r="W17" s="152"/>
      <c r="X17" s="157"/>
      <c r="Y17" s="150"/>
      <c r="Z17" s="158"/>
      <c r="AA17" s="135"/>
      <c r="AB17" s="133"/>
      <c r="AC17" s="133"/>
      <c r="AD17" s="133"/>
      <c r="AE17" s="134"/>
      <c r="AF17" s="135"/>
      <c r="AG17" s="136"/>
      <c r="AH17" s="135"/>
      <c r="AI17" s="133"/>
      <c r="AJ17" s="133"/>
      <c r="AK17" s="133"/>
      <c r="AL17" s="134"/>
      <c r="AM17" s="135"/>
      <c r="AN17" s="136"/>
      <c r="AO17" s="135"/>
      <c r="AP17" s="133"/>
      <c r="AQ17" s="133"/>
      <c r="AR17" s="133"/>
      <c r="AS17" s="134"/>
      <c r="AT17" s="135"/>
      <c r="AU17" s="136"/>
      <c r="AV17" s="135"/>
      <c r="AW17" s="133"/>
      <c r="AX17" s="133"/>
      <c r="AY17" s="133"/>
      <c r="AZ17" s="134"/>
      <c r="BA17" s="135"/>
      <c r="BB17" s="136"/>
      <c r="BC17" s="135"/>
      <c r="BD17" s="133"/>
      <c r="BE17" s="133"/>
      <c r="BF17" s="133"/>
      <c r="BG17" s="134"/>
      <c r="BH17" s="135"/>
      <c r="BI17" s="136"/>
      <c r="BJ17" s="135"/>
      <c r="BK17" s="133"/>
      <c r="BL17" s="133"/>
      <c r="BM17" s="133"/>
      <c r="BN17" s="134"/>
      <c r="BO17" s="135"/>
      <c r="BP17" s="136"/>
      <c r="BQ17" s="135"/>
      <c r="BR17" s="133"/>
      <c r="BS17" s="133"/>
      <c r="BT17" s="133"/>
      <c r="BU17" s="134"/>
      <c r="BV17" s="135"/>
      <c r="BW17" s="136"/>
      <c r="BX17" s="135"/>
      <c r="BY17" s="133"/>
      <c r="BZ17" s="133"/>
      <c r="CA17" s="133"/>
      <c r="CB17" s="134"/>
      <c r="CC17" s="135"/>
      <c r="CD17" s="136"/>
      <c r="CE17" s="135"/>
      <c r="CF17" s="133"/>
      <c r="CG17" s="133"/>
      <c r="CH17" s="133"/>
      <c r="CI17" s="134"/>
      <c r="CJ17" s="135"/>
      <c r="CK17" s="136"/>
      <c r="CL17" s="135"/>
      <c r="CM17" s="133"/>
      <c r="CN17" s="133"/>
      <c r="CO17" s="133"/>
      <c r="CP17" s="134"/>
      <c r="CQ17" s="135"/>
      <c r="CR17" s="136"/>
      <c r="CS17" s="135"/>
      <c r="CT17" s="133"/>
      <c r="CU17" s="133"/>
      <c r="CV17" s="133"/>
      <c r="CW17" s="134"/>
      <c r="CX17" s="135"/>
      <c r="CY17" s="136"/>
      <c r="CZ17" s="135"/>
      <c r="DA17" s="133"/>
      <c r="DB17" s="133"/>
      <c r="DC17" s="133"/>
      <c r="DD17" s="134"/>
      <c r="DE17" s="135"/>
      <c r="DF17" s="136"/>
      <c r="DG17" s="135"/>
      <c r="DH17" s="133"/>
      <c r="DI17" s="133"/>
      <c r="DJ17" s="133"/>
      <c r="DK17" s="134"/>
      <c r="DL17" s="135"/>
      <c r="DM17" s="136"/>
      <c r="DN17" s="135"/>
      <c r="DO17" s="133"/>
      <c r="DP17" s="133"/>
      <c r="DQ17" s="133"/>
      <c r="DR17" s="134"/>
      <c r="DS17" s="135"/>
      <c r="DT17" s="136"/>
      <c r="DU17" s="135"/>
      <c r="DV17" s="133"/>
      <c r="DW17" s="133"/>
      <c r="DX17" s="133"/>
      <c r="DY17" s="134"/>
      <c r="DZ17" s="135"/>
      <c r="EA17" s="136"/>
      <c r="EB17" s="135"/>
      <c r="EC17" s="133"/>
      <c r="ED17" s="133"/>
      <c r="EE17" s="133"/>
      <c r="EF17" s="134"/>
      <c r="EG17" s="135"/>
      <c r="EH17" s="136"/>
      <c r="EI17" s="135"/>
      <c r="EJ17" s="133"/>
      <c r="EK17" s="133"/>
      <c r="EL17" s="133"/>
      <c r="EM17" s="134"/>
      <c r="EN17" s="135"/>
      <c r="EO17" s="136"/>
      <c r="EP17" s="135"/>
      <c r="EQ17" s="133"/>
      <c r="ER17" s="133"/>
      <c r="ES17" s="133"/>
      <c r="ET17" s="134"/>
      <c r="EU17" s="135"/>
      <c r="EV17" s="136"/>
      <c r="EW17" s="135"/>
      <c r="EX17" s="133"/>
      <c r="EY17" s="133"/>
      <c r="EZ17" s="133"/>
      <c r="FA17" s="134"/>
      <c r="FB17" s="135"/>
      <c r="FC17" s="136"/>
      <c r="FD17" s="135"/>
      <c r="FE17" s="133"/>
      <c r="FF17" s="133"/>
      <c r="FG17" s="133"/>
      <c r="FH17" s="134"/>
      <c r="FI17" s="135"/>
      <c r="FJ17" s="136"/>
      <c r="FK17" s="135"/>
      <c r="FL17" s="133"/>
      <c r="FM17" s="133"/>
      <c r="FN17" s="133"/>
      <c r="FO17" s="134"/>
      <c r="FP17" s="135"/>
      <c r="FQ17" s="136"/>
      <c r="FR17" s="135"/>
      <c r="FS17" s="133"/>
      <c r="FT17" s="133"/>
      <c r="FU17" s="133"/>
      <c r="FV17" s="134"/>
      <c r="FW17" s="135"/>
      <c r="FX17" s="136"/>
      <c r="FY17" s="135"/>
      <c r="FZ17" s="133"/>
      <c r="GA17" s="133"/>
      <c r="GB17" s="133"/>
      <c r="GC17" s="134"/>
      <c r="GD17" s="135"/>
      <c r="GE17" s="136"/>
      <c r="GF17" s="135"/>
      <c r="GG17" s="133"/>
      <c r="GH17" s="133"/>
      <c r="GI17" s="133"/>
      <c r="GJ17" s="134"/>
      <c r="GK17" s="135"/>
      <c r="GL17" s="136"/>
      <c r="GM17" s="135"/>
      <c r="GN17" s="133"/>
      <c r="GO17" s="133"/>
      <c r="GP17" s="133"/>
      <c r="GQ17" s="134"/>
      <c r="GR17" s="135"/>
      <c r="GS17" s="136"/>
      <c r="GT17" s="135"/>
      <c r="GU17" s="133"/>
      <c r="GV17" s="133"/>
      <c r="GW17" s="133"/>
      <c r="GX17" s="134"/>
      <c r="GY17" s="135"/>
      <c r="GZ17" s="136"/>
      <c r="HA17" s="135"/>
      <c r="HB17" s="133"/>
      <c r="HC17" s="133"/>
      <c r="HD17" s="133"/>
      <c r="HE17" s="134"/>
      <c r="HF17" s="135"/>
      <c r="HG17" s="136"/>
      <c r="HH17" s="135"/>
      <c r="HI17" s="133"/>
      <c r="HJ17" s="133"/>
      <c r="HK17" s="133"/>
      <c r="HL17" s="134"/>
      <c r="HM17" s="135"/>
      <c r="HN17" s="136"/>
      <c r="HO17" s="135"/>
      <c r="HP17" s="133"/>
      <c r="HQ17" s="133"/>
      <c r="HR17" s="133"/>
      <c r="HS17" s="134"/>
      <c r="HT17" s="135"/>
      <c r="HU17" s="136"/>
      <c r="HV17" s="135"/>
      <c r="HW17" s="133"/>
      <c r="HX17" s="133"/>
      <c r="HY17" s="133"/>
      <c r="HZ17" s="134"/>
      <c r="IA17" s="135"/>
      <c r="IB17" s="136"/>
      <c r="IC17" s="135"/>
      <c r="ID17" s="133"/>
      <c r="IE17" s="133"/>
      <c r="IF17" s="133"/>
      <c r="IG17" s="134"/>
      <c r="IH17" s="135"/>
      <c r="II17" s="136"/>
      <c r="IJ17" s="135"/>
      <c r="IK17" s="133"/>
      <c r="IL17" s="133"/>
      <c r="IM17" s="133"/>
      <c r="IN17" s="134"/>
      <c r="IO17" s="135"/>
      <c r="IP17" s="136"/>
      <c r="IQ17" s="135"/>
      <c r="IR17" s="133"/>
      <c r="IS17" s="133"/>
      <c r="IT17" s="133"/>
      <c r="IU17" s="134"/>
      <c r="IV17" s="135"/>
    </row>
    <row r="18" spans="2:23" ht="15.75" customHeight="1" thickBot="1" thickTop="1">
      <c r="B18" s="18">
        <f>0.9*$D$7</f>
        <v>540</v>
      </c>
      <c r="C18" s="44">
        <v>90</v>
      </c>
      <c r="D18" s="18">
        <f>VLOOKUP(C9,T37:Z43,4,0)</f>
        <v>10</v>
      </c>
      <c r="E18" s="19">
        <f t="shared" si="0"/>
        <v>11.11111111111111</v>
      </c>
      <c r="F18" s="20">
        <f>F17</f>
        <v>5</v>
      </c>
      <c r="G18" s="21">
        <f>G17</f>
        <v>1120</v>
      </c>
      <c r="H18" s="21">
        <f aca="true" t="shared" si="2" ref="H18:H24">B18/($F$11*I18)*100</f>
        <v>117.3913043478261</v>
      </c>
      <c r="I18" s="19">
        <v>92</v>
      </c>
      <c r="J18" s="21">
        <f t="shared" si="1"/>
        <v>0.5869565217391305</v>
      </c>
      <c r="N18" s="149" t="s">
        <v>47</v>
      </c>
      <c r="O18" s="159">
        <v>0.1</v>
      </c>
      <c r="P18" s="160"/>
      <c r="Q18" s="161">
        <v>0</v>
      </c>
      <c r="R18" s="162">
        <f>93*1.1/(1.1^(1+Q18))</f>
        <v>93</v>
      </c>
      <c r="S18" s="160"/>
      <c r="T18" s="143" t="s">
        <v>35</v>
      </c>
      <c r="U18" s="145">
        <v>300</v>
      </c>
      <c r="V18" s="144" t="s">
        <v>80</v>
      </c>
      <c r="W18" s="144"/>
    </row>
    <row r="19" spans="2:23" ht="15" customHeight="1" thickBot="1" thickTop="1">
      <c r="B19" s="18">
        <f>0.8*$D$7</f>
        <v>480</v>
      </c>
      <c r="C19" s="44">
        <v>80</v>
      </c>
      <c r="D19" s="18">
        <f>VLOOKUP(C9,T37:Z43,4,0)</f>
        <v>10</v>
      </c>
      <c r="E19" s="19">
        <f t="shared" si="0"/>
        <v>11.11111111111111</v>
      </c>
      <c r="F19" s="20">
        <f>F17</f>
        <v>5</v>
      </c>
      <c r="G19" s="21">
        <f aca="true" t="shared" si="3" ref="G19:G24">G18</f>
        <v>1120</v>
      </c>
      <c r="H19" s="21">
        <f t="shared" si="2"/>
        <v>104.34782608695652</v>
      </c>
      <c r="I19" s="19">
        <v>92</v>
      </c>
      <c r="J19" s="21">
        <f t="shared" si="1"/>
        <v>0.5217391304347826</v>
      </c>
      <c r="N19" s="149" t="s">
        <v>48</v>
      </c>
      <c r="O19" s="159">
        <f>O18/(1-O18)</f>
        <v>0.11111111111111112</v>
      </c>
      <c r="P19" s="163"/>
      <c r="Q19" s="164">
        <f>Q18+5%</f>
        <v>0.05</v>
      </c>
      <c r="R19" s="162">
        <f>93*1.1/(1.1^(1+Q19))</f>
        <v>92.55786200694892</v>
      </c>
      <c r="S19" s="163"/>
      <c r="T19" s="143" t="s">
        <v>36</v>
      </c>
      <c r="U19" s="145">
        <v>350</v>
      </c>
      <c r="V19" s="144" t="s">
        <v>80</v>
      </c>
      <c r="W19" s="144"/>
    </row>
    <row r="20" spans="2:23" ht="15" customHeight="1" thickBot="1" thickTop="1">
      <c r="B20" s="18">
        <f>0.7*$D$7</f>
        <v>420</v>
      </c>
      <c r="C20" s="44">
        <v>70</v>
      </c>
      <c r="D20" s="18">
        <f>VLOOKUP(C9,T37:Z43,4,0)</f>
        <v>10</v>
      </c>
      <c r="E20" s="19">
        <f t="shared" si="0"/>
        <v>11.11111111111111</v>
      </c>
      <c r="F20" s="20">
        <f>F17</f>
        <v>5</v>
      </c>
      <c r="G20" s="21">
        <f t="shared" si="3"/>
        <v>1120</v>
      </c>
      <c r="H20" s="21">
        <f t="shared" si="2"/>
        <v>91.30434782608695</v>
      </c>
      <c r="I20" s="19">
        <v>92</v>
      </c>
      <c r="J20" s="21">
        <f t="shared" si="1"/>
        <v>0.45652173913043476</v>
      </c>
      <c r="N20" s="149" t="s">
        <v>60</v>
      </c>
      <c r="O20" s="149"/>
      <c r="P20" s="149"/>
      <c r="Q20" s="164">
        <f aca="true" t="shared" si="4" ref="Q20:Q25">Q19+5%</f>
        <v>0.1</v>
      </c>
      <c r="R20" s="162">
        <f aca="true" t="shared" si="5" ref="R20:R28">93*1.1/(1.1^(1+Q20))</f>
        <v>92.11782601395053</v>
      </c>
      <c r="S20" s="149"/>
      <c r="T20" s="143" t="s">
        <v>37</v>
      </c>
      <c r="U20" s="145">
        <v>400</v>
      </c>
      <c r="V20" s="144" t="s">
        <v>80</v>
      </c>
      <c r="W20" s="144"/>
    </row>
    <row r="21" spans="2:23" ht="15" customHeight="1" thickBot="1" thickTop="1">
      <c r="B21" s="18">
        <f>0.6*$D$7</f>
        <v>360</v>
      </c>
      <c r="C21" s="44">
        <v>60</v>
      </c>
      <c r="D21" s="18">
        <f>VLOOKUP(C9,T37:Z43,4,0)</f>
        <v>10</v>
      </c>
      <c r="E21" s="19">
        <f t="shared" si="0"/>
        <v>11.11111111111111</v>
      </c>
      <c r="F21" s="20">
        <f>F17</f>
        <v>5</v>
      </c>
      <c r="G21" s="21">
        <f t="shared" si="3"/>
        <v>1120</v>
      </c>
      <c r="H21" s="21">
        <f t="shared" si="2"/>
        <v>78.26086956521739</v>
      </c>
      <c r="I21" s="19">
        <v>92</v>
      </c>
      <c r="J21" s="21">
        <f t="shared" si="1"/>
        <v>0.391304347826087</v>
      </c>
      <c r="N21" s="149"/>
      <c r="O21" s="149"/>
      <c r="P21" s="149"/>
      <c r="Q21" s="164">
        <f t="shared" si="4"/>
        <v>0.15000000000000002</v>
      </c>
      <c r="R21" s="162">
        <f t="shared" si="5"/>
        <v>91.67988202773509</v>
      </c>
      <c r="S21" s="149"/>
      <c r="T21" s="143" t="s">
        <v>38</v>
      </c>
      <c r="U21" s="145">
        <v>450</v>
      </c>
      <c r="V21" s="144" t="s">
        <v>80</v>
      </c>
      <c r="W21" s="144"/>
    </row>
    <row r="22" spans="2:23" ht="15.75" customHeight="1" thickBot="1" thickTop="1">
      <c r="B22" s="18">
        <f>0.5*$D$7</f>
        <v>300</v>
      </c>
      <c r="C22" s="44">
        <v>50</v>
      </c>
      <c r="D22" s="18">
        <f>VLOOKUP(C9,T37:Z43,4,0)</f>
        <v>10</v>
      </c>
      <c r="E22" s="19">
        <f t="shared" si="0"/>
        <v>11.11111111111111</v>
      </c>
      <c r="F22" s="20">
        <f>F17</f>
        <v>5</v>
      </c>
      <c r="G22" s="21">
        <f t="shared" si="3"/>
        <v>1120</v>
      </c>
      <c r="H22" s="21">
        <f t="shared" si="2"/>
        <v>65.21739130434783</v>
      </c>
      <c r="I22" s="19">
        <v>92</v>
      </c>
      <c r="J22" s="21">
        <f t="shared" si="1"/>
        <v>0.32608695652173914</v>
      </c>
      <c r="N22" s="149" t="s">
        <v>49</v>
      </c>
      <c r="O22" s="149">
        <f>1000/(1+O19)</f>
        <v>900</v>
      </c>
      <c r="P22" s="149"/>
      <c r="Q22" s="164">
        <f t="shared" si="4"/>
        <v>0.2</v>
      </c>
      <c r="R22" s="162">
        <f t="shared" si="5"/>
        <v>91.24402010254258</v>
      </c>
      <c r="S22" s="149"/>
      <c r="T22" s="143" t="s">
        <v>39</v>
      </c>
      <c r="U22" s="145">
        <v>500</v>
      </c>
      <c r="V22" s="144" t="s">
        <v>80</v>
      </c>
      <c r="W22" s="144"/>
    </row>
    <row r="23" spans="2:23" ht="15.75" customHeight="1" thickBot="1" thickTop="1">
      <c r="B23" s="18">
        <f>0.4*$D$7</f>
        <v>240</v>
      </c>
      <c r="C23" s="44">
        <v>40</v>
      </c>
      <c r="D23" s="18">
        <f>VLOOKUP(C9,T37:Z43,4,0)</f>
        <v>10</v>
      </c>
      <c r="E23" s="19">
        <f t="shared" si="0"/>
        <v>11.11111111111111</v>
      </c>
      <c r="F23" s="20">
        <f>F17</f>
        <v>5</v>
      </c>
      <c r="G23" s="21">
        <f t="shared" si="3"/>
        <v>1120</v>
      </c>
      <c r="H23" s="21">
        <f t="shared" si="2"/>
        <v>52.17391304347826</v>
      </c>
      <c r="I23" s="19">
        <v>92</v>
      </c>
      <c r="J23" s="21">
        <f t="shared" si="1"/>
        <v>0.2608695652173913</v>
      </c>
      <c r="N23" s="149"/>
      <c r="O23" s="149"/>
      <c r="P23" s="149"/>
      <c r="Q23" s="164">
        <f>Q22+5%</f>
        <v>0.25</v>
      </c>
      <c r="R23" s="162">
        <f t="shared" si="5"/>
        <v>90.81023033989688</v>
      </c>
      <c r="S23" s="149"/>
      <c r="T23" s="143" t="s">
        <v>40</v>
      </c>
      <c r="U23" s="145">
        <v>600</v>
      </c>
      <c r="V23" s="144" t="s">
        <v>80</v>
      </c>
      <c r="W23" s="144"/>
    </row>
    <row r="24" spans="2:23" ht="15.75" customHeight="1" thickBot="1" thickTop="1">
      <c r="B24" s="18">
        <f>0.3*$D$7</f>
        <v>180</v>
      </c>
      <c r="C24" s="44">
        <v>30</v>
      </c>
      <c r="D24" s="18">
        <f>VLOOKUP(C9,T37:Z43,4,0)</f>
        <v>10</v>
      </c>
      <c r="E24" s="19">
        <f t="shared" si="0"/>
        <v>11.11111111111111</v>
      </c>
      <c r="F24" s="20">
        <f>F17</f>
        <v>5</v>
      </c>
      <c r="G24" s="21">
        <f t="shared" si="3"/>
        <v>1120</v>
      </c>
      <c r="H24" s="21">
        <f t="shared" si="2"/>
        <v>39.130434782608695</v>
      </c>
      <c r="I24" s="19">
        <v>92</v>
      </c>
      <c r="J24" s="21">
        <f t="shared" si="1"/>
        <v>0.1956521739130435</v>
      </c>
      <c r="N24" s="149" t="s">
        <v>50</v>
      </c>
      <c r="O24" s="149">
        <f>1000*(1-1/(1+O19))</f>
        <v>100.00000000000009</v>
      </c>
      <c r="P24" s="149"/>
      <c r="Q24" s="164">
        <f t="shared" si="4"/>
        <v>0.3</v>
      </c>
      <c r="R24" s="162">
        <f t="shared" si="5"/>
        <v>90.37850288838088</v>
      </c>
      <c r="S24" s="149"/>
      <c r="T24" s="143" t="s">
        <v>41</v>
      </c>
      <c r="U24" s="145">
        <v>800</v>
      </c>
      <c r="V24" s="144" t="s">
        <v>80</v>
      </c>
      <c r="W24" s="144"/>
    </row>
    <row r="25" spans="2:23" ht="15" customHeight="1" thickTop="1">
      <c r="B25" s="46"/>
      <c r="C25" s="47"/>
      <c r="D25" s="48"/>
      <c r="E25" s="46"/>
      <c r="F25" s="23"/>
      <c r="G25" s="49"/>
      <c r="H25" s="49"/>
      <c r="I25" s="48"/>
      <c r="J25" s="49"/>
      <c r="N25" s="149" t="s">
        <v>51</v>
      </c>
      <c r="O25" s="149">
        <f>18.8*O22/1000</f>
        <v>16.92</v>
      </c>
      <c r="P25" s="149"/>
      <c r="Q25" s="164">
        <f t="shared" si="4"/>
        <v>0.35</v>
      </c>
      <c r="R25" s="162">
        <f t="shared" si="5"/>
        <v>89.94882794341282</v>
      </c>
      <c r="S25" s="149"/>
      <c r="T25" s="143" t="s">
        <v>42</v>
      </c>
      <c r="U25" s="145">
        <v>1000</v>
      </c>
      <c r="V25" s="144" t="s">
        <v>80</v>
      </c>
      <c r="W25" s="144"/>
    </row>
    <row r="26" spans="1:22" s="2" customFormat="1" ht="15">
      <c r="A26" s="1"/>
      <c r="B26" s="196" t="s">
        <v>119</v>
      </c>
      <c r="C26" s="197"/>
      <c r="D26" s="197"/>
      <c r="E26" s="197"/>
      <c r="F26" s="197"/>
      <c r="G26" s="198"/>
      <c r="H26" s="199" t="s">
        <v>68</v>
      </c>
      <c r="I26" s="1"/>
      <c r="J26" s="1"/>
      <c r="V26" s="40"/>
    </row>
    <row r="27" spans="1:22" s="2" customFormat="1" ht="42" customHeight="1">
      <c r="A27" s="1"/>
      <c r="B27" s="202" t="s">
        <v>120</v>
      </c>
      <c r="C27" s="202"/>
      <c r="D27" s="202"/>
      <c r="E27" s="202"/>
      <c r="F27" s="202"/>
      <c r="G27" s="202"/>
      <c r="H27" s="202"/>
      <c r="I27" s="200"/>
      <c r="J27" s="41" t="s">
        <v>69</v>
      </c>
      <c r="V27" s="40"/>
    </row>
    <row r="28" spans="1:19" ht="15.75" customHeight="1" thickBot="1">
      <c r="A28" s="4"/>
      <c r="B28" s="17"/>
      <c r="C28" s="17"/>
      <c r="D28" s="17"/>
      <c r="E28" s="17"/>
      <c r="F28" s="17"/>
      <c r="G28" s="50"/>
      <c r="H28" s="50"/>
      <c r="I28" s="51"/>
      <c r="J28" s="50"/>
      <c r="K28" s="4"/>
      <c r="N28" s="149"/>
      <c r="O28" s="149"/>
      <c r="P28" s="149"/>
      <c r="Q28" s="164">
        <v>0.45</v>
      </c>
      <c r="R28" s="162">
        <f t="shared" si="5"/>
        <v>89.0955965876352</v>
      </c>
      <c r="S28" s="166"/>
    </row>
    <row r="29" spans="1:19" ht="15.75" customHeight="1" thickTop="1">
      <c r="A29" s="4"/>
      <c r="B29" s="2"/>
      <c r="C29" s="52"/>
      <c r="D29" s="4"/>
      <c r="E29" s="4"/>
      <c r="F29" s="4"/>
      <c r="G29" s="4"/>
      <c r="H29" s="4"/>
      <c r="I29" s="4"/>
      <c r="J29" s="4"/>
      <c r="K29" s="4"/>
      <c r="N29" s="149"/>
      <c r="O29" s="149"/>
      <c r="P29" s="149"/>
      <c r="Q29" s="165"/>
      <c r="R29" s="149"/>
      <c r="S29" s="166"/>
    </row>
    <row r="30" spans="1:28" ht="23.25">
      <c r="A30" s="4"/>
      <c r="B30" s="53" t="s">
        <v>133</v>
      </c>
      <c r="C30" s="52"/>
      <c r="D30" s="4"/>
      <c r="E30" s="4"/>
      <c r="F30" s="4"/>
      <c r="G30" s="4"/>
      <c r="H30" s="4"/>
      <c r="I30" s="4"/>
      <c r="J30" s="4"/>
      <c r="K30" s="4"/>
      <c r="N30" s="149"/>
      <c r="O30" s="149"/>
      <c r="P30" s="149"/>
      <c r="Q30" s="165"/>
      <c r="R30" s="149"/>
      <c r="S30" s="149"/>
      <c r="T30" s="143"/>
      <c r="U30" s="143"/>
      <c r="V30" s="144"/>
      <c r="W30" s="144"/>
      <c r="X30" s="143"/>
      <c r="Y30" s="143"/>
      <c r="Z30" s="143"/>
      <c r="AA30" s="138"/>
      <c r="AB30" s="138"/>
    </row>
    <row r="31" spans="2:28" ht="15.75" customHeight="1">
      <c r="B31" s="48"/>
      <c r="C31" s="47"/>
      <c r="D31" s="48"/>
      <c r="E31" s="46"/>
      <c r="F31" s="23"/>
      <c r="G31" s="49"/>
      <c r="H31" s="49"/>
      <c r="I31" s="48"/>
      <c r="J31" s="49"/>
      <c r="L31" s="166"/>
      <c r="M31" s="166"/>
      <c r="N31" s="149"/>
      <c r="O31" s="149"/>
      <c r="P31" s="149"/>
      <c r="Q31" s="149"/>
      <c r="R31" s="149"/>
      <c r="S31" s="143"/>
      <c r="T31" s="143"/>
      <c r="U31" s="143"/>
      <c r="V31" s="144"/>
      <c r="W31" s="144"/>
      <c r="X31" s="143"/>
      <c r="Y31" s="143"/>
      <c r="Z31" s="143"/>
      <c r="AA31" s="139"/>
      <c r="AB31" s="138"/>
    </row>
    <row r="32" spans="7:28" ht="15" customHeight="1">
      <c r="G32" s="49"/>
      <c r="H32" s="49"/>
      <c r="I32" s="48"/>
      <c r="J32" s="49"/>
      <c r="L32" s="166"/>
      <c r="M32" s="159"/>
      <c r="N32" s="160"/>
      <c r="O32" s="160"/>
      <c r="P32" s="160"/>
      <c r="Q32" s="160"/>
      <c r="R32" s="149"/>
      <c r="S32" s="143"/>
      <c r="T32" s="143"/>
      <c r="U32" s="143"/>
      <c r="V32" s="144"/>
      <c r="W32" s="144"/>
      <c r="X32" s="143"/>
      <c r="Y32" s="143"/>
      <c r="Z32" s="143"/>
      <c r="AA32" s="139"/>
      <c r="AB32" s="138"/>
    </row>
    <row r="33" spans="7:28" ht="15" customHeight="1">
      <c r="G33" s="49"/>
      <c r="H33" s="49"/>
      <c r="I33" s="48"/>
      <c r="J33" s="49"/>
      <c r="L33" s="166"/>
      <c r="M33" s="159"/>
      <c r="N33" s="163"/>
      <c r="Q33" s="163"/>
      <c r="R33" s="166"/>
      <c r="S33" s="143"/>
      <c r="T33" s="143"/>
      <c r="U33" s="143"/>
      <c r="V33" s="144"/>
      <c r="W33" s="144"/>
      <c r="X33" s="143"/>
      <c r="Y33" s="143"/>
      <c r="Z33" s="143"/>
      <c r="AA33" s="139"/>
      <c r="AB33" s="138"/>
    </row>
    <row r="34" spans="2:28" ht="15" customHeight="1">
      <c r="B34" s="214" t="s">
        <v>132</v>
      </c>
      <c r="C34" s="54" t="s">
        <v>70</v>
      </c>
      <c r="D34" s="55" t="s">
        <v>128</v>
      </c>
      <c r="E34" s="56"/>
      <c r="F34" s="57"/>
      <c r="G34" s="49"/>
      <c r="H34" s="49"/>
      <c r="I34" s="48"/>
      <c r="J34" s="49"/>
      <c r="L34" s="166"/>
      <c r="M34" s="166"/>
      <c r="N34" s="166"/>
      <c r="Q34" s="166"/>
      <c r="R34" s="166"/>
      <c r="S34" s="143"/>
      <c r="T34" s="143" t="s">
        <v>18</v>
      </c>
      <c r="U34" s="143"/>
      <c r="V34" s="144"/>
      <c r="W34" s="144"/>
      <c r="X34" s="143"/>
      <c r="Y34" s="143"/>
      <c r="Z34" s="143"/>
      <c r="AA34" s="139"/>
      <c r="AB34" s="138"/>
    </row>
    <row r="35" spans="2:35" ht="15.75" customHeight="1">
      <c r="B35" s="215"/>
      <c r="C35" s="58" t="s">
        <v>70</v>
      </c>
      <c r="D35" s="59" t="s">
        <v>129</v>
      </c>
      <c r="E35" s="60"/>
      <c r="F35" s="61"/>
      <c r="G35" s="49"/>
      <c r="H35" s="49"/>
      <c r="I35" s="48"/>
      <c r="J35" s="49"/>
      <c r="L35" s="166"/>
      <c r="M35" s="166"/>
      <c r="Q35" s="166"/>
      <c r="R35" s="166"/>
      <c r="S35" s="143"/>
      <c r="T35" s="143"/>
      <c r="U35" s="168" t="s">
        <v>55</v>
      </c>
      <c r="V35" s="168" t="s">
        <v>67</v>
      </c>
      <c r="W35" s="168" t="s">
        <v>66</v>
      </c>
      <c r="X35" s="168" t="s">
        <v>56</v>
      </c>
      <c r="Y35" s="143"/>
      <c r="Z35" s="169" t="s">
        <v>61</v>
      </c>
      <c r="AA35" s="139"/>
      <c r="AB35" s="138"/>
      <c r="AH35" s="138"/>
      <c r="AI35" s="138"/>
    </row>
    <row r="36" spans="2:35" ht="15.75" customHeight="1">
      <c r="B36" s="216"/>
      <c r="C36" s="62" t="s">
        <v>70</v>
      </c>
      <c r="D36" s="63" t="s">
        <v>130</v>
      </c>
      <c r="E36" s="64"/>
      <c r="F36" s="65"/>
      <c r="G36" s="4"/>
      <c r="H36" s="4"/>
      <c r="I36" s="4"/>
      <c r="J36" s="4"/>
      <c r="L36" s="166"/>
      <c r="M36" s="166"/>
      <c r="Q36" s="166"/>
      <c r="R36" s="166"/>
      <c r="S36" s="143"/>
      <c r="T36" s="143"/>
      <c r="U36" s="168"/>
      <c r="V36" s="168"/>
      <c r="W36" s="168"/>
      <c r="X36" s="168"/>
      <c r="Y36" s="143"/>
      <c r="Z36" s="169"/>
      <c r="AA36" s="139"/>
      <c r="AB36" s="138"/>
      <c r="AH36" s="138"/>
      <c r="AI36" s="138"/>
    </row>
    <row r="37" spans="2:35" ht="15.75" customHeight="1">
      <c r="B37" s="48"/>
      <c r="C37" s="47"/>
      <c r="D37" s="48"/>
      <c r="E37" s="46"/>
      <c r="F37" s="23"/>
      <c r="G37" s="49"/>
      <c r="H37" s="49"/>
      <c r="I37" s="48"/>
      <c r="J37" s="49"/>
      <c r="L37" s="166"/>
      <c r="M37" s="166"/>
      <c r="Q37" s="166"/>
      <c r="R37" s="166"/>
      <c r="S37" s="143"/>
      <c r="T37" s="143" t="s">
        <v>62</v>
      </c>
      <c r="U37" s="143">
        <v>18</v>
      </c>
      <c r="V37" s="144">
        <v>1120</v>
      </c>
      <c r="W37" s="144">
        <v>10</v>
      </c>
      <c r="X37" s="170">
        <v>0.5</v>
      </c>
      <c r="Y37" s="143"/>
      <c r="Z37" s="171"/>
      <c r="AA37" s="139"/>
      <c r="AB37" s="138"/>
      <c r="AH37" s="138"/>
      <c r="AI37" s="138"/>
    </row>
    <row r="38" spans="2:35" ht="15" customHeight="1">
      <c r="B38" s="66" t="s">
        <v>131</v>
      </c>
      <c r="C38" s="67"/>
      <c r="D38" s="68"/>
      <c r="E38" s="69"/>
      <c r="F38" s="70"/>
      <c r="G38" s="49"/>
      <c r="H38" s="49"/>
      <c r="I38" s="48"/>
      <c r="J38" s="49"/>
      <c r="L38" s="166"/>
      <c r="M38" s="166"/>
      <c r="Q38" s="166"/>
      <c r="R38" s="166"/>
      <c r="S38" s="143"/>
      <c r="T38" s="143" t="s">
        <v>63</v>
      </c>
      <c r="U38" s="143">
        <v>16.5</v>
      </c>
      <c r="V38" s="144">
        <v>1000</v>
      </c>
      <c r="W38" s="144">
        <v>10</v>
      </c>
      <c r="X38" s="170">
        <v>0.7</v>
      </c>
      <c r="Y38" s="143"/>
      <c r="Z38" s="171"/>
      <c r="AA38" s="139"/>
      <c r="AB38" s="138"/>
      <c r="AH38" s="138"/>
      <c r="AI38" s="138"/>
    </row>
    <row r="39" spans="2:35" ht="15" customHeight="1">
      <c r="B39" s="46"/>
      <c r="C39" s="47"/>
      <c r="D39" s="48"/>
      <c r="E39" s="46"/>
      <c r="F39" s="23"/>
      <c r="G39" s="4"/>
      <c r="H39" s="49"/>
      <c r="I39" s="48"/>
      <c r="J39" s="49"/>
      <c r="K39" s="4"/>
      <c r="L39" s="166"/>
      <c r="M39" s="166"/>
      <c r="Q39" s="166"/>
      <c r="R39" s="166"/>
      <c r="S39" s="143"/>
      <c r="T39" s="143" t="s">
        <v>64</v>
      </c>
      <c r="U39" s="143">
        <v>16.5</v>
      </c>
      <c r="V39" s="144">
        <v>1000</v>
      </c>
      <c r="W39" s="144">
        <v>10</v>
      </c>
      <c r="X39" s="170">
        <v>1</v>
      </c>
      <c r="Y39" s="143"/>
      <c r="Z39" s="154"/>
      <c r="AA39" s="139"/>
      <c r="AB39" s="138"/>
      <c r="AH39" s="138"/>
      <c r="AI39" s="138"/>
    </row>
    <row r="40" spans="2:35" ht="15" customHeight="1">
      <c r="B40" s="71" t="s">
        <v>107</v>
      </c>
      <c r="C40" s="72"/>
      <c r="D40" s="72"/>
      <c r="E40" s="97">
        <v>25</v>
      </c>
      <c r="F40" s="73" t="s">
        <v>73</v>
      </c>
      <c r="G40" s="213" t="s">
        <v>118</v>
      </c>
      <c r="H40" s="213"/>
      <c r="I40" s="213"/>
      <c r="J40" s="213"/>
      <c r="K40" s="213"/>
      <c r="L40" s="166"/>
      <c r="M40" s="172"/>
      <c r="Q40" s="166"/>
      <c r="R40" s="166"/>
      <c r="S40" s="143"/>
      <c r="T40" s="143" t="s">
        <v>65</v>
      </c>
      <c r="U40" s="143">
        <v>18</v>
      </c>
      <c r="V40" s="144">
        <v>1120</v>
      </c>
      <c r="W40" s="144">
        <v>10</v>
      </c>
      <c r="X40" s="170">
        <v>0.5</v>
      </c>
      <c r="Y40" s="143"/>
      <c r="Z40" s="154"/>
      <c r="AA40" s="139"/>
      <c r="AB40" s="138"/>
      <c r="AH40" s="138"/>
      <c r="AI40" s="138"/>
    </row>
    <row r="41" spans="2:35" ht="15" customHeight="1">
      <c r="B41" s="77" t="s">
        <v>112</v>
      </c>
      <c r="C41" s="195"/>
      <c r="D41" s="74"/>
      <c r="E41" s="75">
        <f>E40*0.9</f>
        <v>22.5</v>
      </c>
      <c r="F41" s="76" t="s">
        <v>71</v>
      </c>
      <c r="I41" s="23"/>
      <c r="J41" s="49"/>
      <c r="L41" s="166"/>
      <c r="M41" s="172"/>
      <c r="Q41" s="166"/>
      <c r="R41" s="166"/>
      <c r="S41" s="143"/>
      <c r="T41" s="143"/>
      <c r="U41" s="143"/>
      <c r="V41" s="144"/>
      <c r="W41" s="144"/>
      <c r="X41" s="170"/>
      <c r="Y41" s="143"/>
      <c r="Z41" s="154"/>
      <c r="AA41" s="139"/>
      <c r="AB41" s="138"/>
      <c r="AH41" s="138"/>
      <c r="AI41" s="138"/>
    </row>
    <row r="42" spans="2:35" ht="15.75" customHeight="1">
      <c r="B42" s="77" t="s">
        <v>113</v>
      </c>
      <c r="C42" s="74"/>
      <c r="D42" s="74"/>
      <c r="E42" s="98">
        <v>30</v>
      </c>
      <c r="F42" s="76" t="s">
        <v>71</v>
      </c>
      <c r="G42" s="49"/>
      <c r="H42" s="49"/>
      <c r="I42" s="48"/>
      <c r="J42" s="49"/>
      <c r="L42" s="166"/>
      <c r="M42" s="172"/>
      <c r="Q42" s="166"/>
      <c r="R42" s="166"/>
      <c r="S42" s="143"/>
      <c r="T42" s="143"/>
      <c r="U42" s="170"/>
      <c r="V42" s="144"/>
      <c r="W42" s="144"/>
      <c r="X42" s="170"/>
      <c r="Y42" s="143"/>
      <c r="Z42" s="154"/>
      <c r="AA42" s="139"/>
      <c r="AB42" s="138"/>
      <c r="AH42" s="138"/>
      <c r="AI42" s="138"/>
    </row>
    <row r="43" spans="2:38" ht="15.75" customHeight="1">
      <c r="B43" s="77" t="s">
        <v>108</v>
      </c>
      <c r="C43" s="218" t="s">
        <v>125</v>
      </c>
      <c r="D43" s="218"/>
      <c r="E43" s="218"/>
      <c r="F43" s="78"/>
      <c r="G43" s="4"/>
      <c r="H43" s="4"/>
      <c r="I43" s="4"/>
      <c r="J43" s="4"/>
      <c r="L43" s="166"/>
      <c r="M43" s="172"/>
      <c r="Q43" s="166"/>
      <c r="R43" s="166"/>
      <c r="S43" s="143"/>
      <c r="T43" s="143"/>
      <c r="U43" s="143"/>
      <c r="V43" s="144"/>
      <c r="W43" s="144"/>
      <c r="X43" s="143"/>
      <c r="Y43" s="143"/>
      <c r="Z43" s="154"/>
      <c r="AA43" s="139"/>
      <c r="AB43" s="138"/>
      <c r="AH43" s="138"/>
      <c r="AI43" s="138"/>
      <c r="AJ43" s="138"/>
      <c r="AK43" s="138"/>
      <c r="AL43" s="138"/>
    </row>
    <row r="44" spans="2:38" ht="15.75" customHeight="1">
      <c r="B44" s="79" t="s">
        <v>74</v>
      </c>
      <c r="C44" s="80"/>
      <c r="D44" s="28"/>
      <c r="E44" s="81">
        <f>VLOOKUP(C43,U48:V50,2,0)</f>
        <v>0.9</v>
      </c>
      <c r="F44" s="82"/>
      <c r="G44" s="49"/>
      <c r="H44" s="49"/>
      <c r="I44" s="48"/>
      <c r="J44" s="49"/>
      <c r="L44" s="166"/>
      <c r="M44" s="166"/>
      <c r="Q44" s="166"/>
      <c r="R44" s="166"/>
      <c r="S44" s="143"/>
      <c r="T44" s="143"/>
      <c r="U44" s="143"/>
      <c r="V44" s="143"/>
      <c r="W44" s="143"/>
      <c r="X44" s="143"/>
      <c r="Y44" s="143"/>
      <c r="Z44" s="143"/>
      <c r="AA44" s="139"/>
      <c r="AB44" s="138"/>
      <c r="AH44" s="138"/>
      <c r="AI44" s="138"/>
      <c r="AJ44" s="138"/>
      <c r="AK44" s="138"/>
      <c r="AL44" s="138"/>
    </row>
    <row r="45" spans="2:38" ht="15" customHeight="1">
      <c r="B45" s="83"/>
      <c r="C45" s="47"/>
      <c r="D45" s="48"/>
      <c r="E45" s="84"/>
      <c r="F45" s="82"/>
      <c r="G45" s="49"/>
      <c r="H45" s="49"/>
      <c r="I45" s="48"/>
      <c r="J45" s="49"/>
      <c r="L45" s="166"/>
      <c r="M45" s="166"/>
      <c r="O45" s="166"/>
      <c r="P45" s="166"/>
      <c r="Q45" s="166"/>
      <c r="R45" s="166"/>
      <c r="S45" s="143"/>
      <c r="T45" s="143"/>
      <c r="U45" s="143"/>
      <c r="V45" s="144"/>
      <c r="W45" s="144"/>
      <c r="X45" s="143"/>
      <c r="Y45" s="143"/>
      <c r="Z45" s="143"/>
      <c r="AA45" s="139"/>
      <c r="AB45" s="138"/>
      <c r="AH45" s="138"/>
      <c r="AI45" s="138"/>
      <c r="AJ45" s="138"/>
      <c r="AK45" s="138"/>
      <c r="AL45" s="138"/>
    </row>
    <row r="46" spans="2:38" ht="15" customHeight="1">
      <c r="B46" s="77" t="s">
        <v>111</v>
      </c>
      <c r="C46" s="47"/>
      <c r="D46" s="48"/>
      <c r="E46" s="84">
        <f>E42*E44</f>
        <v>27</v>
      </c>
      <c r="F46" s="76" t="s">
        <v>71</v>
      </c>
      <c r="G46" s="49"/>
      <c r="H46" s="49"/>
      <c r="I46" s="48"/>
      <c r="J46" s="49"/>
      <c r="L46" s="166"/>
      <c r="M46" s="159"/>
      <c r="N46" s="160"/>
      <c r="O46" s="160"/>
      <c r="P46" s="160"/>
      <c r="Q46" s="160"/>
      <c r="R46" s="166"/>
      <c r="S46" s="143"/>
      <c r="T46" s="143"/>
      <c r="U46" s="132"/>
      <c r="V46" s="132"/>
      <c r="W46" s="132"/>
      <c r="X46" s="132"/>
      <c r="Y46" s="132"/>
      <c r="Z46" s="132"/>
      <c r="AA46" s="138"/>
      <c r="AB46" s="138"/>
      <c r="AH46" s="138"/>
      <c r="AI46" s="138"/>
      <c r="AJ46" s="138"/>
      <c r="AK46" s="138"/>
      <c r="AL46" s="138"/>
    </row>
    <row r="47" spans="2:26" ht="15" customHeight="1">
      <c r="B47" s="77" t="s">
        <v>109</v>
      </c>
      <c r="C47" s="47"/>
      <c r="D47" s="48"/>
      <c r="E47" s="85">
        <f>E46*650</f>
        <v>17550</v>
      </c>
      <c r="F47" s="76" t="s">
        <v>72</v>
      </c>
      <c r="G47" s="49"/>
      <c r="H47" s="49"/>
      <c r="I47" s="48"/>
      <c r="J47" s="49"/>
      <c r="U47" s="138"/>
      <c r="V47" s="138"/>
      <c r="W47" s="138"/>
      <c r="X47" s="132"/>
      <c r="Y47" s="132"/>
      <c r="Z47" s="132"/>
    </row>
    <row r="48" spans="2:26" ht="15.75" customHeight="1">
      <c r="B48" s="86"/>
      <c r="C48" s="47"/>
      <c r="D48" s="48"/>
      <c r="E48" s="46"/>
      <c r="F48" s="82"/>
      <c r="G48" s="49"/>
      <c r="H48" s="49"/>
      <c r="I48" s="48"/>
      <c r="J48" s="49"/>
      <c r="U48" s="201" t="s">
        <v>127</v>
      </c>
      <c r="V48" s="140">
        <v>0.7</v>
      </c>
      <c r="W48" s="138"/>
      <c r="X48" s="132"/>
      <c r="Y48" s="132"/>
      <c r="Z48" s="132"/>
    </row>
    <row r="49" spans="2:26" ht="15.75" customHeight="1">
      <c r="B49" s="87" t="s">
        <v>110</v>
      </c>
      <c r="C49" s="15"/>
      <c r="D49" s="15"/>
      <c r="E49" s="88">
        <f>E47*F11</f>
        <v>87750</v>
      </c>
      <c r="F49" s="89" t="s">
        <v>46</v>
      </c>
      <c r="G49" s="4"/>
      <c r="H49" s="4"/>
      <c r="I49" s="4"/>
      <c r="J49" s="4"/>
      <c r="U49" s="201" t="s">
        <v>126</v>
      </c>
      <c r="V49" s="140">
        <v>0.85</v>
      </c>
      <c r="W49" s="138"/>
      <c r="X49" s="132"/>
      <c r="Y49" s="132"/>
      <c r="Z49" s="132"/>
    </row>
    <row r="50" spans="2:26" ht="15.75" customHeight="1">
      <c r="B50" s="48"/>
      <c r="C50" s="47"/>
      <c r="D50" s="48"/>
      <c r="E50" s="46"/>
      <c r="F50" s="23"/>
      <c r="G50" s="49"/>
      <c r="H50" s="49"/>
      <c r="I50" s="48"/>
      <c r="J50" s="49"/>
      <c r="U50" s="201" t="s">
        <v>125</v>
      </c>
      <c r="V50" s="140">
        <v>0.9</v>
      </c>
      <c r="W50" s="138"/>
      <c r="X50" s="132"/>
      <c r="Y50" s="132"/>
      <c r="Z50" s="132"/>
    </row>
    <row r="51" spans="2:26" ht="15" customHeight="1">
      <c r="B51" s="46"/>
      <c r="C51" s="47"/>
      <c r="D51" s="48"/>
      <c r="E51" s="46"/>
      <c r="F51" s="23"/>
      <c r="G51" s="49"/>
      <c r="H51" s="49"/>
      <c r="I51" s="48"/>
      <c r="J51" s="49"/>
      <c r="U51" s="138"/>
      <c r="V51" s="138"/>
      <c r="W51" s="138"/>
      <c r="X51" s="132"/>
      <c r="Y51" s="132"/>
      <c r="Z51" s="132"/>
    </row>
    <row r="52" spans="2:26" ht="15" customHeight="1">
      <c r="B52" s="46"/>
      <c r="C52" s="47"/>
      <c r="D52" s="48"/>
      <c r="E52" s="46"/>
      <c r="F52" s="23"/>
      <c r="G52" s="49"/>
      <c r="H52" s="49"/>
      <c r="I52" s="48"/>
      <c r="J52" s="49"/>
      <c r="U52" s="138"/>
      <c r="V52" s="138"/>
      <c r="W52" s="138"/>
      <c r="X52" s="132"/>
      <c r="Y52" s="132"/>
      <c r="Z52" s="132"/>
    </row>
    <row r="53" spans="2:26" ht="15" customHeight="1">
      <c r="B53" s="217" t="s">
        <v>114</v>
      </c>
      <c r="C53" s="90">
        <f>E49/10</f>
        <v>8775</v>
      </c>
      <c r="D53" s="91" t="s">
        <v>115</v>
      </c>
      <c r="E53" s="2"/>
      <c r="F53" s="92" t="s">
        <v>76</v>
      </c>
      <c r="G53" s="49"/>
      <c r="H53" s="49"/>
      <c r="I53" s="48"/>
      <c r="J53" s="49"/>
      <c r="U53" s="138"/>
      <c r="V53" s="138"/>
      <c r="W53" s="138"/>
      <c r="X53" s="132"/>
      <c r="Y53" s="132"/>
      <c r="Z53" s="132"/>
    </row>
    <row r="54" spans="2:26" ht="15.75" customHeight="1">
      <c r="B54" s="217"/>
      <c r="C54" s="90">
        <f>E49/9.5</f>
        <v>9236.842105263158</v>
      </c>
      <c r="D54" s="91" t="s">
        <v>116</v>
      </c>
      <c r="E54" s="2"/>
      <c r="F54" s="92" t="s">
        <v>77</v>
      </c>
      <c r="G54" s="2"/>
      <c r="H54" s="49"/>
      <c r="I54" s="48"/>
      <c r="J54" s="49"/>
      <c r="U54" s="138"/>
      <c r="V54" s="138"/>
      <c r="W54" s="138"/>
      <c r="X54" s="132"/>
      <c r="Y54" s="132"/>
      <c r="Z54" s="132"/>
    </row>
    <row r="55" spans="2:10" ht="18">
      <c r="B55" s="217"/>
      <c r="C55" s="90">
        <f>E49/12.8</f>
        <v>6855.46875</v>
      </c>
      <c r="D55" s="91" t="s">
        <v>117</v>
      </c>
      <c r="E55" s="2"/>
      <c r="F55" s="92" t="s">
        <v>78</v>
      </c>
      <c r="G55" s="2"/>
      <c r="H55" s="4"/>
      <c r="I55" s="4"/>
      <c r="J55" s="4"/>
    </row>
    <row r="56" spans="2:10" ht="15.75" customHeight="1">
      <c r="B56" s="47"/>
      <c r="C56" s="93">
        <f>E49/7</f>
        <v>12535.714285714286</v>
      </c>
      <c r="D56" s="45" t="s">
        <v>75</v>
      </c>
      <c r="E56" s="3"/>
      <c r="F56" s="94" t="s">
        <v>79</v>
      </c>
      <c r="G56" s="2"/>
      <c r="H56" s="49"/>
      <c r="I56" s="48"/>
      <c r="J56" s="49"/>
    </row>
    <row r="57" spans="2:10" ht="15" customHeight="1">
      <c r="B57" s="2"/>
      <c r="C57" s="2"/>
      <c r="D57" s="2"/>
      <c r="E57" s="2"/>
      <c r="F57" s="2"/>
      <c r="G57" s="2"/>
      <c r="H57" s="49"/>
      <c r="I57" s="48"/>
      <c r="J57" s="49"/>
    </row>
    <row r="58" spans="2:10" ht="15" customHeight="1">
      <c r="B58" s="46"/>
      <c r="C58" s="47"/>
      <c r="D58" s="48"/>
      <c r="E58" s="46"/>
      <c r="F58" s="95"/>
      <c r="G58" s="49"/>
      <c r="H58" s="49"/>
      <c r="I58" s="48"/>
      <c r="J58" s="49"/>
    </row>
    <row r="59" spans="2:10" ht="15" customHeight="1">
      <c r="B59" s="46"/>
      <c r="C59" s="47"/>
      <c r="D59" s="96"/>
      <c r="E59" s="46"/>
      <c r="F59" s="23"/>
      <c r="G59" s="49"/>
      <c r="H59" s="49"/>
      <c r="I59" s="48"/>
      <c r="J59" s="49"/>
    </row>
    <row r="60" spans="1:22" s="2" customFormat="1" ht="15">
      <c r="A60" s="1"/>
      <c r="B60" s="196" t="s">
        <v>119</v>
      </c>
      <c r="C60" s="197"/>
      <c r="D60" s="197"/>
      <c r="E60" s="197"/>
      <c r="F60" s="197"/>
      <c r="G60" s="198"/>
      <c r="H60" s="199" t="s">
        <v>68</v>
      </c>
      <c r="I60" s="1"/>
      <c r="J60" s="1"/>
      <c r="V60" s="40"/>
    </row>
    <row r="61" spans="1:22" s="2" customFormat="1" ht="42" customHeight="1">
      <c r="A61" s="1"/>
      <c r="B61" s="202" t="s">
        <v>120</v>
      </c>
      <c r="C61" s="202"/>
      <c r="D61" s="202"/>
      <c r="E61" s="202"/>
      <c r="F61" s="202"/>
      <c r="G61" s="202"/>
      <c r="H61" s="202"/>
      <c r="I61" s="200"/>
      <c r="J61" s="41" t="s">
        <v>69</v>
      </c>
      <c r="V61" s="40"/>
    </row>
    <row r="62" spans="2:17" ht="15.75" customHeight="1" hidden="1">
      <c r="B62" s="48"/>
      <c r="C62" s="47"/>
      <c r="D62" s="48"/>
      <c r="E62" s="46"/>
      <c r="F62" s="23"/>
      <c r="G62" s="49"/>
      <c r="H62" s="49"/>
      <c r="I62" s="48"/>
      <c r="J62" s="49"/>
      <c r="Q62" s="143"/>
    </row>
    <row r="63" spans="2:17" ht="15" customHeight="1" hidden="1">
      <c r="B63" s="46"/>
      <c r="C63" s="47"/>
      <c r="D63" s="48"/>
      <c r="E63" s="46"/>
      <c r="F63" s="23"/>
      <c r="G63" s="49"/>
      <c r="H63" s="49"/>
      <c r="I63" s="48"/>
      <c r="J63" s="49"/>
      <c r="Q63" s="143">
        <f>18.8*(800/1000)*(S75*1000-2.2562*R75)/1000/3.6</f>
        <v>56.7155447284879</v>
      </c>
    </row>
    <row r="64" spans="2:17" ht="15" customHeight="1" hidden="1">
      <c r="B64" s="46"/>
      <c r="C64" s="47"/>
      <c r="D64" s="48"/>
      <c r="E64" s="46"/>
      <c r="F64" s="23"/>
      <c r="G64" s="49"/>
      <c r="H64" s="49"/>
      <c r="I64" s="48"/>
      <c r="J64" s="49"/>
      <c r="Q64" s="143"/>
    </row>
    <row r="65" spans="2:10" ht="15" customHeight="1" hidden="1">
      <c r="B65" s="46"/>
      <c r="C65" s="47"/>
      <c r="D65" s="48"/>
      <c r="E65" s="46"/>
      <c r="F65" s="23"/>
      <c r="G65" s="49"/>
      <c r="H65" s="49"/>
      <c r="I65" s="48"/>
      <c r="J65" s="49"/>
    </row>
    <row r="66" spans="2:10" ht="15.75" customHeight="1" hidden="1">
      <c r="B66" s="46"/>
      <c r="C66" s="47"/>
      <c r="D66" s="48"/>
      <c r="E66" s="46"/>
      <c r="F66" s="23"/>
      <c r="G66" s="49"/>
      <c r="H66" s="49"/>
      <c r="I66" s="48"/>
      <c r="J66" s="49"/>
    </row>
    <row r="67" ht="15" hidden="1"/>
    <row r="68" ht="15" hidden="1"/>
    <row r="69" ht="15" hidden="1"/>
    <row r="70" ht="15" hidden="1"/>
    <row r="71" spans="12:27" ht="15" hidden="1"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51"/>
      <c r="W71" s="151"/>
      <c r="X71" s="166"/>
      <c r="Y71" s="166"/>
      <c r="Z71" s="166"/>
      <c r="AA71" s="137"/>
    </row>
    <row r="72" spans="12:27" ht="15" hidden="1">
      <c r="L72" s="173"/>
      <c r="M72" s="149"/>
      <c r="N72" s="149"/>
      <c r="O72" s="149"/>
      <c r="P72" s="149"/>
      <c r="Q72" s="149"/>
      <c r="R72" s="149"/>
      <c r="S72" s="149"/>
      <c r="T72" s="149"/>
      <c r="U72" s="149"/>
      <c r="V72" s="152"/>
      <c r="W72" s="152"/>
      <c r="X72" s="149"/>
      <c r="Y72" s="149"/>
      <c r="Z72" s="149"/>
      <c r="AA72" s="141"/>
    </row>
    <row r="73" spans="12:27" ht="15" customHeight="1" hidden="1">
      <c r="L73" s="174"/>
      <c r="M73" s="175" t="s">
        <v>5</v>
      </c>
      <c r="N73" s="175" t="s">
        <v>6</v>
      </c>
      <c r="O73" s="176" t="s">
        <v>7</v>
      </c>
      <c r="P73" s="176" t="s">
        <v>8</v>
      </c>
      <c r="Q73" s="176" t="s">
        <v>9</v>
      </c>
      <c r="R73" s="176" t="s">
        <v>10</v>
      </c>
      <c r="S73" s="176" t="s">
        <v>11</v>
      </c>
      <c r="T73" s="176" t="s">
        <v>12</v>
      </c>
      <c r="U73" s="176" t="s">
        <v>13</v>
      </c>
      <c r="V73" s="176" t="s">
        <v>14</v>
      </c>
      <c r="W73" s="176"/>
      <c r="X73" s="177" t="s">
        <v>15</v>
      </c>
      <c r="Y73" s="178" t="s">
        <v>16</v>
      </c>
      <c r="Z73" s="176" t="s">
        <v>17</v>
      </c>
      <c r="AA73" s="141"/>
    </row>
    <row r="74" spans="12:27" ht="15" hidden="1">
      <c r="L74" s="179" t="s">
        <v>2</v>
      </c>
      <c r="M74" s="180">
        <v>25</v>
      </c>
      <c r="N74" s="181">
        <v>20</v>
      </c>
      <c r="O74" s="182">
        <f>1000*M74/100</f>
        <v>250</v>
      </c>
      <c r="P74" s="182">
        <f>1000+O74</f>
        <v>1250</v>
      </c>
      <c r="Q74" s="182">
        <f>1000*1000/P74</f>
        <v>800</v>
      </c>
      <c r="R74" s="182">
        <f>1000-Q74</f>
        <v>200</v>
      </c>
      <c r="S74" s="183">
        <f>18.8*(Q74/1000)</f>
        <v>15.040000000000001</v>
      </c>
      <c r="T74" s="183">
        <f>(S74*1000-2.2562*R74)/1000</f>
        <v>14.588760000000002</v>
      </c>
      <c r="U74" s="183">
        <f>T74*0.278</f>
        <v>4.055675280000001</v>
      </c>
      <c r="V74" s="182">
        <f>X74/1.43</f>
        <v>331.2937062937063</v>
      </c>
      <c r="W74" s="182"/>
      <c r="X74" s="184">
        <f>379+(379*M74/100)</f>
        <v>473.75</v>
      </c>
      <c r="Y74" s="185">
        <f>X74/2.5</f>
        <v>189.5</v>
      </c>
      <c r="Z74" s="186">
        <f>U74*Y74/1000</f>
        <v>0.7685504655600002</v>
      </c>
      <c r="AA74" s="141"/>
    </row>
    <row r="75" spans="12:27" ht="15" hidden="1">
      <c r="L75" s="179" t="s">
        <v>2</v>
      </c>
      <c r="M75" s="180">
        <v>33</v>
      </c>
      <c r="N75" s="181">
        <v>25</v>
      </c>
      <c r="O75" s="182">
        <f aca="true" t="shared" si="6" ref="O75:O100">1000*M75/100</f>
        <v>330</v>
      </c>
      <c r="P75" s="182">
        <f aca="true" t="shared" si="7" ref="P75:P100">1000+O75</f>
        <v>1330</v>
      </c>
      <c r="Q75" s="182">
        <f aca="true" t="shared" si="8" ref="Q75:Q100">1000*1000/P75</f>
        <v>751.8796992481203</v>
      </c>
      <c r="R75" s="182">
        <f aca="true" t="shared" si="9" ref="R75:R100">1000-Q75</f>
        <v>248.12030075187965</v>
      </c>
      <c r="S75" s="183">
        <f aca="true" t="shared" si="10" ref="S75:S99">18.8*(Q75/1000)</f>
        <v>14.135338345864664</v>
      </c>
      <c r="T75" s="183">
        <f aca="true" t="shared" si="11" ref="T75:T100">(S75*1000-2.2562*R75)/1000</f>
        <v>13.575529323308274</v>
      </c>
      <c r="U75" s="183">
        <f>T75*0.278</f>
        <v>3.7739971518797004</v>
      </c>
      <c r="V75" s="182">
        <f>X75/1.43</f>
        <v>352.4965034965035</v>
      </c>
      <c r="W75" s="182"/>
      <c r="X75" s="184">
        <f>379+(379*M75/100)</f>
        <v>504.07</v>
      </c>
      <c r="Y75" s="185">
        <f>X75/2.5</f>
        <v>201.628</v>
      </c>
      <c r="Z75" s="186">
        <f>U75*Y75/1000</f>
        <v>0.7609434977392002</v>
      </c>
      <c r="AA75" s="141"/>
    </row>
    <row r="76" spans="12:27" ht="15" hidden="1">
      <c r="L76" s="179" t="s">
        <v>2</v>
      </c>
      <c r="M76" s="180">
        <v>43</v>
      </c>
      <c r="N76" s="181">
        <v>30</v>
      </c>
      <c r="O76" s="182">
        <f t="shared" si="6"/>
        <v>430</v>
      </c>
      <c r="P76" s="182">
        <f t="shared" si="7"/>
        <v>1430</v>
      </c>
      <c r="Q76" s="182">
        <f t="shared" si="8"/>
        <v>699.3006993006993</v>
      </c>
      <c r="R76" s="182">
        <f t="shared" si="9"/>
        <v>300.6993006993007</v>
      </c>
      <c r="S76" s="183">
        <f t="shared" si="10"/>
        <v>13.146853146853147</v>
      </c>
      <c r="T76" s="183">
        <f t="shared" si="11"/>
        <v>12.468415384615385</v>
      </c>
      <c r="U76" s="183">
        <f aca="true" t="shared" si="12" ref="U76:U100">T76*0.278</f>
        <v>3.466219476923077</v>
      </c>
      <c r="V76" s="182">
        <f aca="true" t="shared" si="13" ref="V76:V100">X76/1.43</f>
        <v>378</v>
      </c>
      <c r="W76" s="182"/>
      <c r="X76" s="184">
        <f>378+(378*M76/100)</f>
        <v>540.54</v>
      </c>
      <c r="Y76" s="185">
        <f aca="true" t="shared" si="14" ref="Y76:Y100">X76/2.5</f>
        <v>216.21599999999998</v>
      </c>
      <c r="Z76" s="186">
        <f aca="true" t="shared" si="15" ref="Z76:Z100">U76*Y76/1000</f>
        <v>0.7494521104224</v>
      </c>
      <c r="AA76" s="141"/>
    </row>
    <row r="77" spans="12:27" ht="15" hidden="1">
      <c r="L77" s="179" t="s">
        <v>2</v>
      </c>
      <c r="M77" s="180">
        <v>54</v>
      </c>
      <c r="N77" s="181">
        <v>35</v>
      </c>
      <c r="O77" s="182">
        <f t="shared" si="6"/>
        <v>540</v>
      </c>
      <c r="P77" s="182">
        <f t="shared" si="7"/>
        <v>1540</v>
      </c>
      <c r="Q77" s="182">
        <f t="shared" si="8"/>
        <v>649.3506493506494</v>
      </c>
      <c r="R77" s="182">
        <f t="shared" si="9"/>
        <v>350.6493506493506</v>
      </c>
      <c r="S77" s="183">
        <f t="shared" si="10"/>
        <v>12.20779220779221</v>
      </c>
      <c r="T77" s="183">
        <f t="shared" si="11"/>
        <v>11.416657142857146</v>
      </c>
      <c r="U77" s="183">
        <f>T77*0.278</f>
        <v>3.173830685714287</v>
      </c>
      <c r="V77" s="182">
        <f t="shared" si="13"/>
        <v>407.0769230769231</v>
      </c>
      <c r="W77" s="182"/>
      <c r="X77" s="184">
        <f>378+(378*M77/100)</f>
        <v>582.12</v>
      </c>
      <c r="Y77" s="185">
        <f t="shared" si="14"/>
        <v>232.848</v>
      </c>
      <c r="Z77" s="186">
        <f t="shared" si="15"/>
        <v>0.7390201275072003</v>
      </c>
      <c r="AA77" s="141"/>
    </row>
    <row r="78" spans="12:27" ht="15" hidden="1">
      <c r="L78" s="179" t="s">
        <v>2</v>
      </c>
      <c r="M78" s="180">
        <v>67</v>
      </c>
      <c r="N78" s="181">
        <v>40</v>
      </c>
      <c r="O78" s="182">
        <f t="shared" si="6"/>
        <v>670</v>
      </c>
      <c r="P78" s="182">
        <f t="shared" si="7"/>
        <v>1670</v>
      </c>
      <c r="Q78" s="182">
        <f t="shared" si="8"/>
        <v>598.8023952095808</v>
      </c>
      <c r="R78" s="182">
        <f t="shared" si="9"/>
        <v>401.1976047904192</v>
      </c>
      <c r="S78" s="183">
        <f t="shared" si="10"/>
        <v>11.257485029940119</v>
      </c>
      <c r="T78" s="183">
        <f t="shared" si="11"/>
        <v>10.352302994011975</v>
      </c>
      <c r="U78" s="183">
        <f>T78*0.278</f>
        <v>2.8779402323353294</v>
      </c>
      <c r="V78" s="182">
        <f t="shared" si="13"/>
        <v>441.44055944055947</v>
      </c>
      <c r="W78" s="182"/>
      <c r="X78" s="184">
        <f>378+(378*M78/100)</f>
        <v>631.26</v>
      </c>
      <c r="Y78" s="185">
        <f t="shared" si="14"/>
        <v>252.504</v>
      </c>
      <c r="Z78" s="186">
        <f t="shared" si="15"/>
        <v>0.7266914204256</v>
      </c>
      <c r="AA78" s="141"/>
    </row>
    <row r="79" spans="12:27" ht="15" hidden="1">
      <c r="L79" s="179" t="s">
        <v>2</v>
      </c>
      <c r="M79" s="180">
        <v>82</v>
      </c>
      <c r="N79" s="181">
        <v>45</v>
      </c>
      <c r="O79" s="182">
        <f t="shared" si="6"/>
        <v>820</v>
      </c>
      <c r="P79" s="182">
        <f t="shared" si="7"/>
        <v>1820</v>
      </c>
      <c r="Q79" s="182">
        <f t="shared" si="8"/>
        <v>549.4505494505495</v>
      </c>
      <c r="R79" s="182">
        <f t="shared" si="9"/>
        <v>450.5494505494505</v>
      </c>
      <c r="S79" s="183">
        <f t="shared" si="10"/>
        <v>10.32967032967033</v>
      </c>
      <c r="T79" s="183">
        <f t="shared" si="11"/>
        <v>9.313140659340661</v>
      </c>
      <c r="U79" s="183">
        <f t="shared" si="12"/>
        <v>2.589053103296704</v>
      </c>
      <c r="V79" s="182">
        <f t="shared" si="13"/>
        <v>481.0909090909091</v>
      </c>
      <c r="W79" s="182"/>
      <c r="X79" s="184">
        <f>378+(378*M79/100)</f>
        <v>687.96</v>
      </c>
      <c r="Y79" s="185">
        <f t="shared" si="14"/>
        <v>275.184</v>
      </c>
      <c r="Z79" s="186">
        <f t="shared" si="15"/>
        <v>0.7124659891776003</v>
      </c>
      <c r="AA79" s="141"/>
    </row>
    <row r="80" spans="12:27" ht="15" hidden="1">
      <c r="L80" s="179" t="s">
        <v>3</v>
      </c>
      <c r="M80" s="180">
        <v>25</v>
      </c>
      <c r="N80" s="181">
        <v>20</v>
      </c>
      <c r="O80" s="182">
        <f t="shared" si="6"/>
        <v>250</v>
      </c>
      <c r="P80" s="182">
        <f t="shared" si="7"/>
        <v>1250</v>
      </c>
      <c r="Q80" s="182">
        <f t="shared" si="8"/>
        <v>800</v>
      </c>
      <c r="R80" s="182">
        <f t="shared" si="9"/>
        <v>200</v>
      </c>
      <c r="S80" s="183">
        <f t="shared" si="10"/>
        <v>15.040000000000001</v>
      </c>
      <c r="T80" s="183">
        <f t="shared" si="11"/>
        <v>14.588760000000002</v>
      </c>
      <c r="U80" s="183">
        <f t="shared" si="12"/>
        <v>4.055675280000001</v>
      </c>
      <c r="V80" s="182">
        <f t="shared" si="13"/>
        <v>485.13986013986016</v>
      </c>
      <c r="W80" s="182"/>
      <c r="X80" s="184">
        <f>555+(555*M80/100)</f>
        <v>693.75</v>
      </c>
      <c r="Y80" s="185">
        <f t="shared" si="14"/>
        <v>277.5</v>
      </c>
      <c r="Z80" s="186">
        <f t="shared" si="15"/>
        <v>1.1254498902000003</v>
      </c>
      <c r="AA80" s="141"/>
    </row>
    <row r="81" spans="12:27" ht="15" hidden="1">
      <c r="L81" s="179" t="s">
        <v>3</v>
      </c>
      <c r="M81" s="180">
        <v>30</v>
      </c>
      <c r="N81" s="181">
        <v>20</v>
      </c>
      <c r="O81" s="182">
        <f t="shared" si="6"/>
        <v>300</v>
      </c>
      <c r="P81" s="182">
        <f t="shared" si="7"/>
        <v>1300</v>
      </c>
      <c r="Q81" s="182">
        <f t="shared" si="8"/>
        <v>769.2307692307693</v>
      </c>
      <c r="R81" s="182">
        <f t="shared" si="9"/>
        <v>230.76923076923072</v>
      </c>
      <c r="S81" s="183">
        <f t="shared" si="10"/>
        <v>14.461538461538463</v>
      </c>
      <c r="T81" s="183">
        <f t="shared" si="11"/>
        <v>13.940876923076924</v>
      </c>
      <c r="U81" s="183">
        <f t="shared" si="12"/>
        <v>3.875563784615385</v>
      </c>
      <c r="V81" s="182">
        <f t="shared" si="13"/>
        <v>504.54545454545456</v>
      </c>
      <c r="W81" s="182"/>
      <c r="X81" s="184">
        <f>555+(555*M81/100)</f>
        <v>721.5</v>
      </c>
      <c r="Y81" s="185">
        <f t="shared" si="14"/>
        <v>288.6</v>
      </c>
      <c r="Z81" s="186">
        <f t="shared" si="15"/>
        <v>1.1184877082400002</v>
      </c>
      <c r="AA81" s="141"/>
    </row>
    <row r="82" spans="12:27" ht="15" hidden="1">
      <c r="L82" s="179" t="s">
        <v>3</v>
      </c>
      <c r="M82" s="180">
        <v>35</v>
      </c>
      <c r="N82" s="181">
        <v>20</v>
      </c>
      <c r="O82" s="182">
        <f t="shared" si="6"/>
        <v>350</v>
      </c>
      <c r="P82" s="182">
        <f t="shared" si="7"/>
        <v>1350</v>
      </c>
      <c r="Q82" s="182">
        <f t="shared" si="8"/>
        <v>740.7407407407408</v>
      </c>
      <c r="R82" s="182">
        <f t="shared" si="9"/>
        <v>259.25925925925924</v>
      </c>
      <c r="S82" s="183">
        <f t="shared" si="10"/>
        <v>13.925925925925927</v>
      </c>
      <c r="T82" s="183">
        <f t="shared" si="11"/>
        <v>13.340985185185186</v>
      </c>
      <c r="U82" s="183">
        <f t="shared" si="12"/>
        <v>3.708793881481482</v>
      </c>
      <c r="V82" s="182">
        <f t="shared" si="13"/>
        <v>523.951048951049</v>
      </c>
      <c r="W82" s="182"/>
      <c r="X82" s="184">
        <f>555+(555*M82/100)</f>
        <v>749.25</v>
      </c>
      <c r="Y82" s="185">
        <f t="shared" si="14"/>
        <v>299.7</v>
      </c>
      <c r="Z82" s="186">
        <f t="shared" si="15"/>
        <v>1.1115255262800001</v>
      </c>
      <c r="AA82" s="141"/>
    </row>
    <row r="83" spans="12:27" ht="15" hidden="1">
      <c r="L83" s="179" t="s">
        <v>3</v>
      </c>
      <c r="M83" s="180">
        <v>40</v>
      </c>
      <c r="N83" s="181">
        <v>20</v>
      </c>
      <c r="O83" s="182">
        <f t="shared" si="6"/>
        <v>400</v>
      </c>
      <c r="P83" s="182">
        <f t="shared" si="7"/>
        <v>1400</v>
      </c>
      <c r="Q83" s="182">
        <f t="shared" si="8"/>
        <v>714.2857142857143</v>
      </c>
      <c r="R83" s="182">
        <f t="shared" si="9"/>
        <v>285.71428571428567</v>
      </c>
      <c r="S83" s="183">
        <f t="shared" si="10"/>
        <v>13.428571428571429</v>
      </c>
      <c r="T83" s="183">
        <f t="shared" si="11"/>
        <v>12.783942857142858</v>
      </c>
      <c r="U83" s="183">
        <f t="shared" si="12"/>
        <v>3.553936114285715</v>
      </c>
      <c r="V83" s="182">
        <f t="shared" si="13"/>
        <v>543.3566433566434</v>
      </c>
      <c r="W83" s="182"/>
      <c r="X83" s="184">
        <f>555+(555*M83/100)</f>
        <v>777</v>
      </c>
      <c r="Y83" s="185">
        <f t="shared" si="14"/>
        <v>310.8</v>
      </c>
      <c r="Z83" s="186">
        <f t="shared" si="15"/>
        <v>1.1045633443200003</v>
      </c>
      <c r="AA83" s="141"/>
    </row>
    <row r="84" spans="12:27" ht="15" hidden="1">
      <c r="L84" s="179" t="s">
        <v>3</v>
      </c>
      <c r="M84" s="180">
        <v>45</v>
      </c>
      <c r="N84" s="181">
        <v>20</v>
      </c>
      <c r="O84" s="182">
        <f t="shared" si="6"/>
        <v>450</v>
      </c>
      <c r="P84" s="182">
        <f t="shared" si="7"/>
        <v>1450</v>
      </c>
      <c r="Q84" s="182">
        <f t="shared" si="8"/>
        <v>689.6551724137931</v>
      </c>
      <c r="R84" s="182">
        <f t="shared" si="9"/>
        <v>310.34482758620686</v>
      </c>
      <c r="S84" s="183">
        <f t="shared" si="10"/>
        <v>12.965517241379311</v>
      </c>
      <c r="T84" s="183">
        <f t="shared" si="11"/>
        <v>12.26531724137931</v>
      </c>
      <c r="U84" s="183">
        <f t="shared" si="12"/>
        <v>3.409758193103449</v>
      </c>
      <c r="V84" s="182">
        <f t="shared" si="13"/>
        <v>562.7622377622378</v>
      </c>
      <c r="W84" s="182"/>
      <c r="X84" s="184">
        <f>555+(555*M84/100)</f>
        <v>804.75</v>
      </c>
      <c r="Y84" s="185">
        <f t="shared" si="14"/>
        <v>321.9</v>
      </c>
      <c r="Z84" s="186">
        <f t="shared" si="15"/>
        <v>1.0976011623600002</v>
      </c>
      <c r="AA84" s="141"/>
    </row>
    <row r="85" spans="12:27" ht="15" hidden="1">
      <c r="L85" s="179" t="s">
        <v>1</v>
      </c>
      <c r="M85" s="180">
        <v>25</v>
      </c>
      <c r="N85" s="181">
        <v>20</v>
      </c>
      <c r="O85" s="182">
        <f t="shared" si="6"/>
        <v>250</v>
      </c>
      <c r="P85" s="182">
        <f t="shared" si="7"/>
        <v>1250</v>
      </c>
      <c r="Q85" s="182">
        <f t="shared" si="8"/>
        <v>800</v>
      </c>
      <c r="R85" s="182">
        <f t="shared" si="9"/>
        <v>200</v>
      </c>
      <c r="S85" s="183">
        <f t="shared" si="10"/>
        <v>15.040000000000001</v>
      </c>
      <c r="T85" s="183">
        <f t="shared" si="11"/>
        <v>14.588760000000002</v>
      </c>
      <c r="U85" s="183">
        <f t="shared" si="12"/>
        <v>4.055675280000001</v>
      </c>
      <c r="V85" s="182">
        <f t="shared" si="13"/>
        <v>375.87412587412587</v>
      </c>
      <c r="W85" s="182"/>
      <c r="X85" s="184">
        <f>430+(430*M85/100)</f>
        <v>537.5</v>
      </c>
      <c r="Y85" s="185">
        <f t="shared" si="14"/>
        <v>215</v>
      </c>
      <c r="Z85" s="186">
        <f t="shared" si="15"/>
        <v>0.8719701852000001</v>
      </c>
      <c r="AA85" s="141"/>
    </row>
    <row r="86" spans="12:27" ht="15" hidden="1">
      <c r="L86" s="179" t="s">
        <v>1</v>
      </c>
      <c r="M86" s="180">
        <v>30</v>
      </c>
      <c r="N86" s="181">
        <v>20</v>
      </c>
      <c r="O86" s="182">
        <f t="shared" si="6"/>
        <v>300</v>
      </c>
      <c r="P86" s="182">
        <f t="shared" si="7"/>
        <v>1300</v>
      </c>
      <c r="Q86" s="182">
        <f t="shared" si="8"/>
        <v>769.2307692307693</v>
      </c>
      <c r="R86" s="182">
        <f t="shared" si="9"/>
        <v>230.76923076923072</v>
      </c>
      <c r="S86" s="183">
        <f t="shared" si="10"/>
        <v>14.461538461538463</v>
      </c>
      <c r="T86" s="183">
        <f t="shared" si="11"/>
        <v>13.940876923076924</v>
      </c>
      <c r="U86" s="183">
        <f t="shared" si="12"/>
        <v>3.875563784615385</v>
      </c>
      <c r="V86" s="182">
        <f t="shared" si="13"/>
        <v>390.90909090909093</v>
      </c>
      <c r="W86" s="182"/>
      <c r="X86" s="184">
        <f>430+(430*M86/100)</f>
        <v>559</v>
      </c>
      <c r="Y86" s="185">
        <f t="shared" si="14"/>
        <v>223.6</v>
      </c>
      <c r="Z86" s="186">
        <f t="shared" si="15"/>
        <v>0.8665760622400001</v>
      </c>
      <c r="AA86" s="141"/>
    </row>
    <row r="87" spans="12:27" ht="15" hidden="1">
      <c r="L87" s="179" t="s">
        <v>1</v>
      </c>
      <c r="M87" s="180">
        <v>35</v>
      </c>
      <c r="N87" s="181">
        <v>20</v>
      </c>
      <c r="O87" s="182">
        <f t="shared" si="6"/>
        <v>350</v>
      </c>
      <c r="P87" s="182">
        <f t="shared" si="7"/>
        <v>1350</v>
      </c>
      <c r="Q87" s="182">
        <f t="shared" si="8"/>
        <v>740.7407407407408</v>
      </c>
      <c r="R87" s="182">
        <f t="shared" si="9"/>
        <v>259.25925925925924</v>
      </c>
      <c r="S87" s="183">
        <f t="shared" si="10"/>
        <v>13.925925925925927</v>
      </c>
      <c r="T87" s="183">
        <f t="shared" si="11"/>
        <v>13.340985185185186</v>
      </c>
      <c r="U87" s="183">
        <f t="shared" si="12"/>
        <v>3.708793881481482</v>
      </c>
      <c r="V87" s="182">
        <f t="shared" si="13"/>
        <v>405.94405594405595</v>
      </c>
      <c r="W87" s="182"/>
      <c r="X87" s="184">
        <f>430+(430*M87/100)</f>
        <v>580.5</v>
      </c>
      <c r="Y87" s="185">
        <f t="shared" si="14"/>
        <v>232.2</v>
      </c>
      <c r="Z87" s="186">
        <f t="shared" si="15"/>
        <v>0.8611819392800001</v>
      </c>
      <c r="AA87" s="141"/>
    </row>
    <row r="88" spans="12:27" ht="15" hidden="1">
      <c r="L88" s="179" t="s">
        <v>1</v>
      </c>
      <c r="M88" s="180">
        <v>40</v>
      </c>
      <c r="N88" s="181">
        <v>20</v>
      </c>
      <c r="O88" s="182">
        <f t="shared" si="6"/>
        <v>400</v>
      </c>
      <c r="P88" s="182">
        <f t="shared" si="7"/>
        <v>1400</v>
      </c>
      <c r="Q88" s="182">
        <f t="shared" si="8"/>
        <v>714.2857142857143</v>
      </c>
      <c r="R88" s="182">
        <f t="shared" si="9"/>
        <v>285.71428571428567</v>
      </c>
      <c r="S88" s="183">
        <f t="shared" si="10"/>
        <v>13.428571428571429</v>
      </c>
      <c r="T88" s="183">
        <f t="shared" si="11"/>
        <v>12.783942857142858</v>
      </c>
      <c r="U88" s="183">
        <f t="shared" si="12"/>
        <v>3.553936114285715</v>
      </c>
      <c r="V88" s="182">
        <f t="shared" si="13"/>
        <v>420.979020979021</v>
      </c>
      <c r="W88" s="182"/>
      <c r="X88" s="184">
        <f>430+(430*M88/100)</f>
        <v>602</v>
      </c>
      <c r="Y88" s="185">
        <f t="shared" si="14"/>
        <v>240.8</v>
      </c>
      <c r="Z88" s="186">
        <f t="shared" si="15"/>
        <v>0.8557878163200001</v>
      </c>
      <c r="AA88" s="141"/>
    </row>
    <row r="89" spans="12:27" ht="15" hidden="1">
      <c r="L89" s="179" t="s">
        <v>1</v>
      </c>
      <c r="M89" s="180">
        <v>45</v>
      </c>
      <c r="N89" s="181">
        <v>20</v>
      </c>
      <c r="O89" s="182">
        <f t="shared" si="6"/>
        <v>450</v>
      </c>
      <c r="P89" s="182">
        <f t="shared" si="7"/>
        <v>1450</v>
      </c>
      <c r="Q89" s="182">
        <f t="shared" si="8"/>
        <v>689.6551724137931</v>
      </c>
      <c r="R89" s="182">
        <f t="shared" si="9"/>
        <v>310.34482758620686</v>
      </c>
      <c r="S89" s="183">
        <f t="shared" si="10"/>
        <v>12.965517241379311</v>
      </c>
      <c r="T89" s="183">
        <f t="shared" si="11"/>
        <v>12.26531724137931</v>
      </c>
      <c r="U89" s="183">
        <f t="shared" si="12"/>
        <v>3.409758193103449</v>
      </c>
      <c r="V89" s="182">
        <f t="shared" si="13"/>
        <v>436.013986013986</v>
      </c>
      <c r="W89" s="182"/>
      <c r="X89" s="184">
        <f>430+(430*M89/100)</f>
        <v>623.5</v>
      </c>
      <c r="Y89" s="185">
        <f t="shared" si="14"/>
        <v>249.4</v>
      </c>
      <c r="Z89" s="186">
        <f t="shared" si="15"/>
        <v>0.8503936933600001</v>
      </c>
      <c r="AA89" s="141"/>
    </row>
    <row r="90" spans="12:27" ht="15" hidden="1">
      <c r="L90" s="179" t="s">
        <v>54</v>
      </c>
      <c r="M90" s="180">
        <v>25</v>
      </c>
      <c r="N90" s="181">
        <v>20</v>
      </c>
      <c r="O90" s="182">
        <f t="shared" si="6"/>
        <v>250</v>
      </c>
      <c r="P90" s="182">
        <f t="shared" si="7"/>
        <v>1250</v>
      </c>
      <c r="Q90" s="182">
        <f t="shared" si="8"/>
        <v>800</v>
      </c>
      <c r="R90" s="182">
        <f t="shared" si="9"/>
        <v>200</v>
      </c>
      <c r="S90" s="183">
        <f t="shared" si="10"/>
        <v>15.040000000000001</v>
      </c>
      <c r="T90" s="183">
        <f t="shared" si="11"/>
        <v>14.588760000000002</v>
      </c>
      <c r="U90" s="183">
        <f t="shared" si="12"/>
        <v>4.055675280000001</v>
      </c>
      <c r="V90" s="182">
        <f t="shared" si="13"/>
        <v>489.51048951048955</v>
      </c>
      <c r="W90" s="182"/>
      <c r="X90" s="184">
        <f aca="true" t="shared" si="16" ref="X90:X100">560+(560*M90/100)</f>
        <v>700</v>
      </c>
      <c r="Y90" s="185">
        <f t="shared" si="14"/>
        <v>280</v>
      </c>
      <c r="Z90" s="186">
        <f t="shared" si="15"/>
        <v>1.1355890784000002</v>
      </c>
      <c r="AA90" s="141"/>
    </row>
    <row r="91" spans="12:27" ht="15" hidden="1">
      <c r="L91" s="179" t="s">
        <v>54</v>
      </c>
      <c r="M91" s="180">
        <v>30</v>
      </c>
      <c r="N91" s="181">
        <v>20</v>
      </c>
      <c r="O91" s="182">
        <f t="shared" si="6"/>
        <v>300</v>
      </c>
      <c r="P91" s="182">
        <f t="shared" si="7"/>
        <v>1300</v>
      </c>
      <c r="Q91" s="182">
        <f t="shared" si="8"/>
        <v>769.2307692307693</v>
      </c>
      <c r="R91" s="182">
        <f t="shared" si="9"/>
        <v>230.76923076923072</v>
      </c>
      <c r="S91" s="183">
        <f t="shared" si="10"/>
        <v>14.461538461538463</v>
      </c>
      <c r="T91" s="183">
        <f t="shared" si="11"/>
        <v>13.940876923076924</v>
      </c>
      <c r="U91" s="183">
        <f t="shared" si="12"/>
        <v>3.875563784615385</v>
      </c>
      <c r="V91" s="182">
        <f t="shared" si="13"/>
        <v>509.0909090909091</v>
      </c>
      <c r="W91" s="182"/>
      <c r="X91" s="184">
        <f t="shared" si="16"/>
        <v>728</v>
      </c>
      <c r="Y91" s="185">
        <f t="shared" si="14"/>
        <v>291.2</v>
      </c>
      <c r="Z91" s="186">
        <f t="shared" si="15"/>
        <v>1.12856417408</v>
      </c>
      <c r="AA91" s="141"/>
    </row>
    <row r="92" spans="12:27" ht="15" hidden="1">
      <c r="L92" s="179" t="s">
        <v>54</v>
      </c>
      <c r="M92" s="180">
        <v>35</v>
      </c>
      <c r="N92" s="181">
        <v>20</v>
      </c>
      <c r="O92" s="182">
        <f t="shared" si="6"/>
        <v>350</v>
      </c>
      <c r="P92" s="182">
        <f t="shared" si="7"/>
        <v>1350</v>
      </c>
      <c r="Q92" s="182">
        <f t="shared" si="8"/>
        <v>740.7407407407408</v>
      </c>
      <c r="R92" s="182">
        <f t="shared" si="9"/>
        <v>259.25925925925924</v>
      </c>
      <c r="S92" s="183">
        <f t="shared" si="10"/>
        <v>13.925925925925927</v>
      </c>
      <c r="T92" s="183">
        <f t="shared" si="11"/>
        <v>13.340985185185186</v>
      </c>
      <c r="U92" s="183">
        <f t="shared" si="12"/>
        <v>3.708793881481482</v>
      </c>
      <c r="V92" s="182">
        <f t="shared" si="13"/>
        <v>528.6713286713286</v>
      </c>
      <c r="W92" s="182"/>
      <c r="X92" s="184">
        <f t="shared" si="16"/>
        <v>756</v>
      </c>
      <c r="Y92" s="185">
        <f t="shared" si="14"/>
        <v>302.4</v>
      </c>
      <c r="Z92" s="186">
        <f t="shared" si="15"/>
        <v>1.12153926976</v>
      </c>
      <c r="AA92" s="141"/>
    </row>
    <row r="93" spans="12:27" ht="15" hidden="1">
      <c r="L93" s="179" t="s">
        <v>54</v>
      </c>
      <c r="M93" s="180">
        <v>40</v>
      </c>
      <c r="N93" s="181">
        <v>20</v>
      </c>
      <c r="O93" s="182">
        <f t="shared" si="6"/>
        <v>400</v>
      </c>
      <c r="P93" s="182">
        <f t="shared" si="7"/>
        <v>1400</v>
      </c>
      <c r="Q93" s="182">
        <f t="shared" si="8"/>
        <v>714.2857142857143</v>
      </c>
      <c r="R93" s="182">
        <f t="shared" si="9"/>
        <v>285.71428571428567</v>
      </c>
      <c r="S93" s="183">
        <f t="shared" si="10"/>
        <v>13.428571428571429</v>
      </c>
      <c r="T93" s="183">
        <f t="shared" si="11"/>
        <v>12.783942857142858</v>
      </c>
      <c r="U93" s="183">
        <f t="shared" si="12"/>
        <v>3.553936114285715</v>
      </c>
      <c r="V93" s="182">
        <f t="shared" si="13"/>
        <v>548.2517482517483</v>
      </c>
      <c r="W93" s="182"/>
      <c r="X93" s="184">
        <f t="shared" si="16"/>
        <v>784</v>
      </c>
      <c r="Y93" s="185">
        <f t="shared" si="14"/>
        <v>313.6</v>
      </c>
      <c r="Z93" s="186">
        <f t="shared" si="15"/>
        <v>1.1145143654400003</v>
      </c>
      <c r="AA93" s="141"/>
    </row>
    <row r="94" spans="12:27" ht="15" hidden="1">
      <c r="L94" s="179" t="s">
        <v>54</v>
      </c>
      <c r="M94" s="180">
        <v>45</v>
      </c>
      <c r="N94" s="181">
        <v>20</v>
      </c>
      <c r="O94" s="182">
        <f t="shared" si="6"/>
        <v>450</v>
      </c>
      <c r="P94" s="182">
        <f t="shared" si="7"/>
        <v>1450</v>
      </c>
      <c r="Q94" s="182">
        <f t="shared" si="8"/>
        <v>689.6551724137931</v>
      </c>
      <c r="R94" s="182">
        <f t="shared" si="9"/>
        <v>310.34482758620686</v>
      </c>
      <c r="S94" s="183">
        <f t="shared" si="10"/>
        <v>12.965517241379311</v>
      </c>
      <c r="T94" s="183">
        <f t="shared" si="11"/>
        <v>12.26531724137931</v>
      </c>
      <c r="U94" s="183">
        <f t="shared" si="12"/>
        <v>3.409758193103449</v>
      </c>
      <c r="V94" s="182">
        <f t="shared" si="13"/>
        <v>567.8321678321679</v>
      </c>
      <c r="W94" s="182"/>
      <c r="X94" s="184">
        <f t="shared" si="16"/>
        <v>812</v>
      </c>
      <c r="Y94" s="185">
        <f t="shared" si="14"/>
        <v>324.8</v>
      </c>
      <c r="Z94" s="186">
        <f t="shared" si="15"/>
        <v>1.1074894611200001</v>
      </c>
      <c r="AA94" s="141"/>
    </row>
    <row r="95" spans="12:27" ht="15" hidden="1">
      <c r="L95" s="179" t="s">
        <v>4</v>
      </c>
      <c r="M95" s="180">
        <v>25</v>
      </c>
      <c r="N95" s="181">
        <v>20</v>
      </c>
      <c r="O95" s="182">
        <f t="shared" si="6"/>
        <v>250</v>
      </c>
      <c r="P95" s="182">
        <f t="shared" si="7"/>
        <v>1250</v>
      </c>
      <c r="Q95" s="182">
        <f t="shared" si="8"/>
        <v>800</v>
      </c>
      <c r="R95" s="182">
        <f t="shared" si="9"/>
        <v>200</v>
      </c>
      <c r="S95" s="183">
        <f t="shared" si="10"/>
        <v>15.040000000000001</v>
      </c>
      <c r="T95" s="183">
        <f t="shared" si="11"/>
        <v>14.588760000000002</v>
      </c>
      <c r="U95" s="183">
        <f t="shared" si="12"/>
        <v>4.055675280000001</v>
      </c>
      <c r="V95" s="182">
        <f t="shared" si="13"/>
        <v>489.51048951048955</v>
      </c>
      <c r="W95" s="182"/>
      <c r="X95" s="184">
        <f t="shared" si="16"/>
        <v>700</v>
      </c>
      <c r="Y95" s="185">
        <f t="shared" si="14"/>
        <v>280</v>
      </c>
      <c r="Z95" s="186">
        <f t="shared" si="15"/>
        <v>1.1355890784000002</v>
      </c>
      <c r="AA95" s="141"/>
    </row>
    <row r="96" spans="12:27" ht="15" hidden="1">
      <c r="L96" s="179" t="s">
        <v>4</v>
      </c>
      <c r="M96" s="180">
        <v>30</v>
      </c>
      <c r="N96" s="181">
        <v>20</v>
      </c>
      <c r="O96" s="182">
        <f t="shared" si="6"/>
        <v>300</v>
      </c>
      <c r="P96" s="182">
        <f t="shared" si="7"/>
        <v>1300</v>
      </c>
      <c r="Q96" s="182">
        <f t="shared" si="8"/>
        <v>769.2307692307693</v>
      </c>
      <c r="R96" s="182">
        <f t="shared" si="9"/>
        <v>230.76923076923072</v>
      </c>
      <c r="S96" s="183">
        <f t="shared" si="10"/>
        <v>14.461538461538463</v>
      </c>
      <c r="T96" s="183">
        <f t="shared" si="11"/>
        <v>13.940876923076924</v>
      </c>
      <c r="U96" s="183">
        <f t="shared" si="12"/>
        <v>3.875563784615385</v>
      </c>
      <c r="V96" s="182">
        <f t="shared" si="13"/>
        <v>509.0909090909091</v>
      </c>
      <c r="W96" s="182"/>
      <c r="X96" s="184">
        <f t="shared" si="16"/>
        <v>728</v>
      </c>
      <c r="Y96" s="185">
        <f t="shared" si="14"/>
        <v>291.2</v>
      </c>
      <c r="Z96" s="186">
        <f t="shared" si="15"/>
        <v>1.12856417408</v>
      </c>
      <c r="AA96" s="141"/>
    </row>
    <row r="97" spans="12:27" ht="15" hidden="1">
      <c r="L97" s="179" t="s">
        <v>4</v>
      </c>
      <c r="M97" s="180">
        <v>35</v>
      </c>
      <c r="N97" s="181">
        <v>20</v>
      </c>
      <c r="O97" s="182">
        <f t="shared" si="6"/>
        <v>350</v>
      </c>
      <c r="P97" s="182">
        <f t="shared" si="7"/>
        <v>1350</v>
      </c>
      <c r="Q97" s="182">
        <f t="shared" si="8"/>
        <v>740.7407407407408</v>
      </c>
      <c r="R97" s="182">
        <f t="shared" si="9"/>
        <v>259.25925925925924</v>
      </c>
      <c r="S97" s="183">
        <f t="shared" si="10"/>
        <v>13.925925925925927</v>
      </c>
      <c r="T97" s="183">
        <f t="shared" si="11"/>
        <v>13.340985185185186</v>
      </c>
      <c r="U97" s="183">
        <f t="shared" si="12"/>
        <v>3.708793881481482</v>
      </c>
      <c r="V97" s="182">
        <f t="shared" si="13"/>
        <v>528.6713286713286</v>
      </c>
      <c r="W97" s="182"/>
      <c r="X97" s="184">
        <f t="shared" si="16"/>
        <v>756</v>
      </c>
      <c r="Y97" s="185">
        <f t="shared" si="14"/>
        <v>302.4</v>
      </c>
      <c r="Z97" s="186">
        <f t="shared" si="15"/>
        <v>1.12153926976</v>
      </c>
      <c r="AA97" s="141"/>
    </row>
    <row r="98" spans="12:27" ht="15" hidden="1">
      <c r="L98" s="179" t="s">
        <v>4</v>
      </c>
      <c r="M98" s="180">
        <v>40</v>
      </c>
      <c r="N98" s="181">
        <v>20</v>
      </c>
      <c r="O98" s="182">
        <f t="shared" si="6"/>
        <v>400</v>
      </c>
      <c r="P98" s="182">
        <f t="shared" si="7"/>
        <v>1400</v>
      </c>
      <c r="Q98" s="182">
        <f t="shared" si="8"/>
        <v>714.2857142857143</v>
      </c>
      <c r="R98" s="182">
        <f t="shared" si="9"/>
        <v>285.71428571428567</v>
      </c>
      <c r="S98" s="183">
        <f t="shared" si="10"/>
        <v>13.428571428571429</v>
      </c>
      <c r="T98" s="183">
        <f t="shared" si="11"/>
        <v>12.783942857142858</v>
      </c>
      <c r="U98" s="183">
        <f t="shared" si="12"/>
        <v>3.553936114285715</v>
      </c>
      <c r="V98" s="182">
        <f t="shared" si="13"/>
        <v>548.2517482517483</v>
      </c>
      <c r="W98" s="182"/>
      <c r="X98" s="184">
        <f t="shared" si="16"/>
        <v>784</v>
      </c>
      <c r="Y98" s="185">
        <f t="shared" si="14"/>
        <v>313.6</v>
      </c>
      <c r="Z98" s="186">
        <f t="shared" si="15"/>
        <v>1.1145143654400003</v>
      </c>
      <c r="AA98" s="141"/>
    </row>
    <row r="99" spans="12:27" ht="15" hidden="1">
      <c r="L99" s="179" t="s">
        <v>4</v>
      </c>
      <c r="M99" s="180">
        <v>45</v>
      </c>
      <c r="N99" s="181">
        <v>20</v>
      </c>
      <c r="O99" s="182">
        <f t="shared" si="6"/>
        <v>450</v>
      </c>
      <c r="P99" s="182">
        <f t="shared" si="7"/>
        <v>1450</v>
      </c>
      <c r="Q99" s="182">
        <f t="shared" si="8"/>
        <v>689.6551724137931</v>
      </c>
      <c r="R99" s="182">
        <f t="shared" si="9"/>
        <v>310.34482758620686</v>
      </c>
      <c r="S99" s="183">
        <f t="shared" si="10"/>
        <v>12.965517241379311</v>
      </c>
      <c r="T99" s="183">
        <f t="shared" si="11"/>
        <v>12.26531724137931</v>
      </c>
      <c r="U99" s="183">
        <f t="shared" si="12"/>
        <v>3.409758193103449</v>
      </c>
      <c r="V99" s="182">
        <f t="shared" si="13"/>
        <v>567.8321678321679</v>
      </c>
      <c r="W99" s="182"/>
      <c r="X99" s="184">
        <f t="shared" si="16"/>
        <v>812</v>
      </c>
      <c r="Y99" s="185">
        <f t="shared" si="14"/>
        <v>324.8</v>
      </c>
      <c r="Z99" s="186">
        <f t="shared" si="15"/>
        <v>1.1074894611200001</v>
      </c>
      <c r="AA99" s="141"/>
    </row>
    <row r="100" spans="12:27" ht="15" hidden="1">
      <c r="L100" s="179" t="s">
        <v>0</v>
      </c>
      <c r="M100" s="180">
        <v>10</v>
      </c>
      <c r="N100" s="181">
        <v>9</v>
      </c>
      <c r="O100" s="182">
        <f t="shared" si="6"/>
        <v>100</v>
      </c>
      <c r="P100" s="182">
        <f t="shared" si="7"/>
        <v>1100</v>
      </c>
      <c r="Q100" s="182">
        <f t="shared" si="8"/>
        <v>909.0909090909091</v>
      </c>
      <c r="R100" s="182">
        <f t="shared" si="9"/>
        <v>90.90909090909088</v>
      </c>
      <c r="S100" s="183">
        <f>18.81*(Q100/1000)</f>
        <v>17.1</v>
      </c>
      <c r="T100" s="183">
        <f t="shared" si="11"/>
        <v>16.894890909090908</v>
      </c>
      <c r="U100" s="183">
        <f t="shared" si="12"/>
        <v>4.696779672727272</v>
      </c>
      <c r="V100" s="182">
        <f t="shared" si="13"/>
        <v>430.7692307692308</v>
      </c>
      <c r="W100" s="182"/>
      <c r="X100" s="184">
        <f t="shared" si="16"/>
        <v>616</v>
      </c>
      <c r="Y100" s="185">
        <f t="shared" si="14"/>
        <v>246.4</v>
      </c>
      <c r="Z100" s="186">
        <f t="shared" si="15"/>
        <v>1.15728651136</v>
      </c>
      <c r="AA100" s="141"/>
    </row>
    <row r="101" spans="12:27" ht="15" hidden="1">
      <c r="L101" s="173"/>
      <c r="M101" s="149"/>
      <c r="N101" s="149"/>
      <c r="O101" s="149"/>
      <c r="P101" s="149"/>
      <c r="Q101" s="149"/>
      <c r="R101" s="149"/>
      <c r="S101" s="149"/>
      <c r="T101" s="149"/>
      <c r="U101" s="149"/>
      <c r="V101" s="152"/>
      <c r="W101" s="152"/>
      <c r="X101" s="149"/>
      <c r="Y101" s="149"/>
      <c r="Z101" s="149"/>
      <c r="AA101" s="141"/>
    </row>
    <row r="102" spans="12:27" ht="15" hidden="1">
      <c r="L102" s="173"/>
      <c r="M102" s="149"/>
      <c r="N102" s="149"/>
      <c r="O102" s="149"/>
      <c r="P102" s="149"/>
      <c r="Q102" s="149"/>
      <c r="R102" s="149"/>
      <c r="S102" s="149"/>
      <c r="T102" s="149"/>
      <c r="U102" s="149"/>
      <c r="V102" s="152"/>
      <c r="W102" s="152"/>
      <c r="X102" s="149"/>
      <c r="Y102" s="149"/>
      <c r="Z102" s="149"/>
      <c r="AA102" s="141"/>
    </row>
    <row r="103" spans="12:27" ht="15" hidden="1">
      <c r="L103" s="173"/>
      <c r="M103" s="149"/>
      <c r="N103" s="149"/>
      <c r="O103" s="149"/>
      <c r="P103" s="149"/>
      <c r="Q103" s="149"/>
      <c r="R103" s="149"/>
      <c r="S103" s="149"/>
      <c r="T103" s="149"/>
      <c r="U103" s="149"/>
      <c r="V103" s="152"/>
      <c r="W103" s="152"/>
      <c r="X103" s="149"/>
      <c r="Y103" s="149"/>
      <c r="Z103" s="149"/>
      <c r="AA103" s="141"/>
    </row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spans="12:26" ht="15" hidden="1">
      <c r="L116" s="187"/>
      <c r="M116" s="180"/>
      <c r="N116" s="181"/>
      <c r="O116" s="182"/>
      <c r="P116" s="182"/>
      <c r="Q116" s="182"/>
      <c r="R116" s="182"/>
      <c r="S116" s="183"/>
      <c r="T116" s="183"/>
      <c r="U116" s="183"/>
      <c r="V116" s="182"/>
      <c r="W116" s="182"/>
      <c r="X116" s="184"/>
      <c r="Y116" s="185"/>
      <c r="Z116" s="186"/>
    </row>
    <row r="117" spans="12:26" ht="15" hidden="1">
      <c r="L117" s="187"/>
      <c r="M117" s="180"/>
      <c r="N117" s="181"/>
      <c r="O117" s="182"/>
      <c r="P117" s="182"/>
      <c r="Q117" s="182"/>
      <c r="R117" s="182"/>
      <c r="S117" s="183"/>
      <c r="T117" s="183"/>
      <c r="U117" s="183"/>
      <c r="V117" s="182"/>
      <c r="W117" s="182"/>
      <c r="X117" s="184"/>
      <c r="Y117" s="185"/>
      <c r="Z117" s="186"/>
    </row>
    <row r="118" spans="12:26" ht="15" hidden="1">
      <c r="L118" s="187"/>
      <c r="M118" s="180"/>
      <c r="N118" s="181"/>
      <c r="O118" s="182"/>
      <c r="P118" s="182"/>
      <c r="Q118" s="182"/>
      <c r="R118" s="182"/>
      <c r="S118" s="183"/>
      <c r="T118" s="183"/>
      <c r="U118" s="183"/>
      <c r="V118" s="182"/>
      <c r="W118" s="182"/>
      <c r="X118" s="184"/>
      <c r="Y118" s="185"/>
      <c r="Z118" s="186"/>
    </row>
    <row r="119" spans="12:26" ht="15" hidden="1">
      <c r="L119" s="187"/>
      <c r="M119" s="180"/>
      <c r="N119" s="181"/>
      <c r="O119" s="182"/>
      <c r="P119" s="182"/>
      <c r="Q119" s="182"/>
      <c r="R119" s="182"/>
      <c r="S119" s="183"/>
      <c r="T119" s="183"/>
      <c r="U119" s="183"/>
      <c r="V119" s="182"/>
      <c r="W119" s="182"/>
      <c r="X119" s="184"/>
      <c r="Y119" s="185"/>
      <c r="Z119" s="186"/>
    </row>
    <row r="120" spans="12:26" ht="15" hidden="1">
      <c r="L120" s="188"/>
      <c r="M120" s="175"/>
      <c r="N120" s="175"/>
      <c r="O120" s="176"/>
      <c r="P120" s="176"/>
      <c r="Q120" s="176"/>
      <c r="R120" s="176"/>
      <c r="S120" s="176"/>
      <c r="T120" s="176"/>
      <c r="U120" s="176"/>
      <c r="V120" s="176"/>
      <c r="W120" s="176"/>
      <c r="X120" s="177"/>
      <c r="Y120" s="178"/>
      <c r="Z120" s="176"/>
    </row>
    <row r="121" spans="19:26" ht="15" hidden="1">
      <c r="S121" s="166"/>
      <c r="T121" s="166"/>
      <c r="U121" s="166"/>
      <c r="V121" s="151"/>
      <c r="W121" s="151"/>
      <c r="X121" s="166"/>
      <c r="Y121" s="166"/>
      <c r="Z121" s="166"/>
    </row>
    <row r="122" spans="19:26" ht="15" hidden="1">
      <c r="S122" s="166"/>
      <c r="T122" s="166"/>
      <c r="U122" s="166"/>
      <c r="V122" s="151"/>
      <c r="W122" s="151"/>
      <c r="X122" s="166"/>
      <c r="Y122" s="166"/>
      <c r="Z122" s="166"/>
    </row>
    <row r="123" ht="15" hidden="1"/>
    <row r="124" ht="15" hidden="1"/>
    <row r="125" spans="18:26" ht="15" hidden="1">
      <c r="R125" s="166"/>
      <c r="S125" s="166"/>
      <c r="T125" s="166"/>
      <c r="U125" s="166"/>
      <c r="V125" s="151"/>
      <c r="W125" s="151"/>
      <c r="X125" s="166"/>
      <c r="Y125" s="166"/>
      <c r="Z125" s="166"/>
    </row>
    <row r="126" spans="18:26" ht="15" hidden="1">
      <c r="R126" s="166"/>
      <c r="S126" s="166"/>
      <c r="T126" s="166"/>
      <c r="U126" s="166"/>
      <c r="V126" s="151"/>
      <c r="W126" s="151"/>
      <c r="X126" s="166"/>
      <c r="Y126" s="166"/>
      <c r="Z126" s="166"/>
    </row>
    <row r="127" spans="18:26" ht="15" hidden="1">
      <c r="R127" s="166"/>
      <c r="S127" s="166"/>
      <c r="T127" s="166"/>
      <c r="U127" s="166"/>
      <c r="V127" s="151"/>
      <c r="W127" s="151"/>
      <c r="X127" s="166"/>
      <c r="Y127" s="166"/>
      <c r="Z127" s="166"/>
    </row>
    <row r="128" spans="18:26" ht="15" hidden="1">
      <c r="R128" s="166"/>
      <c r="S128" s="166"/>
      <c r="T128" s="166"/>
      <c r="U128" s="166"/>
      <c r="V128" s="151"/>
      <c r="W128" s="151"/>
      <c r="X128" s="166"/>
      <c r="Y128" s="166"/>
      <c r="Z128" s="166"/>
    </row>
    <row r="129" spans="12:26" ht="15" hidden="1">
      <c r="L129" s="188"/>
      <c r="M129" s="175"/>
      <c r="N129" s="175"/>
      <c r="O129" s="176"/>
      <c r="P129" s="176"/>
      <c r="Q129" s="176"/>
      <c r="R129" s="176"/>
      <c r="S129" s="176"/>
      <c r="T129" s="176"/>
      <c r="U129" s="176"/>
      <c r="V129" s="176"/>
      <c r="W129" s="176"/>
      <c r="X129" s="177"/>
      <c r="Y129" s="178"/>
      <c r="Z129" s="176"/>
    </row>
    <row r="130" spans="18:26" ht="15" hidden="1">
      <c r="R130" s="166"/>
      <c r="S130" s="166"/>
      <c r="T130" s="166"/>
      <c r="U130" s="166"/>
      <c r="V130" s="151"/>
      <c r="W130" s="151"/>
      <c r="X130" s="166"/>
      <c r="Y130" s="166"/>
      <c r="Z130" s="166"/>
    </row>
    <row r="131" spans="18:26" ht="15" hidden="1">
      <c r="R131" s="166"/>
      <c r="S131" s="166"/>
      <c r="T131" s="166"/>
      <c r="U131" s="166"/>
      <c r="V131" s="151"/>
      <c r="W131" s="151"/>
      <c r="X131" s="166"/>
      <c r="Y131" s="166"/>
      <c r="Z131" s="166"/>
    </row>
    <row r="132" spans="18:26" ht="15" hidden="1">
      <c r="R132" s="166"/>
      <c r="S132" s="166"/>
      <c r="T132" s="166"/>
      <c r="U132" s="166"/>
      <c r="V132" s="151"/>
      <c r="W132" s="151"/>
      <c r="X132" s="166"/>
      <c r="Y132" s="166"/>
      <c r="Z132" s="166"/>
    </row>
    <row r="133" spans="18:26" ht="15" hidden="1">
      <c r="R133" s="166"/>
      <c r="S133" s="166"/>
      <c r="T133" s="166"/>
      <c r="U133" s="166"/>
      <c r="V133" s="151"/>
      <c r="W133" s="151"/>
      <c r="X133" s="166"/>
      <c r="Y133" s="166"/>
      <c r="Z133" s="166"/>
    </row>
    <row r="134" spans="18:26" ht="15" hidden="1">
      <c r="R134" s="166"/>
      <c r="S134" s="166"/>
      <c r="T134" s="166"/>
      <c r="U134" s="166"/>
      <c r="V134" s="151"/>
      <c r="W134" s="151"/>
      <c r="X134" s="166"/>
      <c r="Y134" s="166"/>
      <c r="Z134" s="166"/>
    </row>
    <row r="135" spans="18:26" ht="15" hidden="1">
      <c r="R135" s="166"/>
      <c r="S135" s="166"/>
      <c r="T135" s="166"/>
      <c r="U135" s="166"/>
      <c r="V135" s="151"/>
      <c r="W135" s="151"/>
      <c r="X135" s="166"/>
      <c r="Y135" s="166"/>
      <c r="Z135" s="166"/>
    </row>
    <row r="136" spans="18:26" ht="15" hidden="1">
      <c r="R136" s="166"/>
      <c r="S136" s="166"/>
      <c r="T136" s="166"/>
      <c r="U136" s="166"/>
      <c r="V136" s="151"/>
      <c r="W136" s="151"/>
      <c r="X136" s="166"/>
      <c r="Y136" s="166"/>
      <c r="Z136" s="166"/>
    </row>
    <row r="137" spans="12:26" ht="15" hidden="1">
      <c r="L137" s="188"/>
      <c r="M137" s="175"/>
      <c r="N137" s="175"/>
      <c r="O137" s="176"/>
      <c r="P137" s="176"/>
      <c r="Q137" s="176"/>
      <c r="R137" s="176"/>
      <c r="S137" s="176"/>
      <c r="T137" s="176"/>
      <c r="U137" s="176"/>
      <c r="V137" s="176"/>
      <c r="W137" s="176"/>
      <c r="X137" s="177"/>
      <c r="Y137" s="178"/>
      <c r="Z137" s="176"/>
    </row>
    <row r="138" spans="18:26" ht="15" hidden="1">
      <c r="R138" s="166"/>
      <c r="S138" s="166"/>
      <c r="T138" s="166"/>
      <c r="U138" s="166"/>
      <c r="V138" s="151"/>
      <c r="W138" s="151"/>
      <c r="X138" s="166"/>
      <c r="Y138" s="166"/>
      <c r="Z138" s="166"/>
    </row>
    <row r="139" spans="18:26" ht="15" hidden="1">
      <c r="R139" s="166"/>
      <c r="S139" s="166"/>
      <c r="T139" s="166"/>
      <c r="U139" s="166"/>
      <c r="V139" s="151"/>
      <c r="W139" s="151"/>
      <c r="X139" s="166"/>
      <c r="Y139" s="166"/>
      <c r="Z139" s="166"/>
    </row>
    <row r="140" spans="18:26" ht="15" hidden="1">
      <c r="R140" s="166"/>
      <c r="S140" s="166"/>
      <c r="T140" s="166"/>
      <c r="U140" s="166"/>
      <c r="V140" s="151"/>
      <c r="W140" s="151"/>
      <c r="X140" s="166"/>
      <c r="Y140" s="166"/>
      <c r="Z140" s="166"/>
    </row>
    <row r="141" spans="18:26" ht="15" hidden="1">
      <c r="R141" s="166"/>
      <c r="S141" s="166"/>
      <c r="T141" s="166"/>
      <c r="U141" s="166"/>
      <c r="V141" s="151"/>
      <c r="W141" s="151"/>
      <c r="X141" s="166"/>
      <c r="Y141" s="166"/>
      <c r="Z141" s="166"/>
    </row>
    <row r="142" spans="18:26" ht="15" hidden="1">
      <c r="R142" s="166"/>
      <c r="S142" s="166"/>
      <c r="T142" s="166"/>
      <c r="U142" s="166"/>
      <c r="V142" s="151"/>
      <c r="W142" s="151"/>
      <c r="X142" s="166"/>
      <c r="Y142" s="166"/>
      <c r="Z142" s="166"/>
    </row>
    <row r="143" spans="18:26" ht="15" hidden="1">
      <c r="R143" s="166"/>
      <c r="S143" s="166"/>
      <c r="T143" s="166"/>
      <c r="U143" s="166"/>
      <c r="V143" s="151"/>
      <c r="W143" s="151"/>
      <c r="X143" s="166"/>
      <c r="Y143" s="166"/>
      <c r="Z143" s="166"/>
    </row>
    <row r="144" spans="18:26" ht="15" hidden="1">
      <c r="R144" s="166"/>
      <c r="S144" s="166"/>
      <c r="T144" s="166"/>
      <c r="U144" s="166"/>
      <c r="V144" s="151"/>
      <c r="W144" s="151"/>
      <c r="X144" s="166"/>
      <c r="Y144" s="166"/>
      <c r="Z144" s="166"/>
    </row>
    <row r="145" spans="18:26" ht="15" hidden="1">
      <c r="R145" s="166"/>
      <c r="S145" s="166"/>
      <c r="T145" s="166"/>
      <c r="U145" s="166"/>
      <c r="V145" s="151"/>
      <c r="W145" s="151"/>
      <c r="X145" s="166"/>
      <c r="Y145" s="166"/>
      <c r="Z145" s="166"/>
    </row>
    <row r="146" spans="12:26" ht="15" hidden="1">
      <c r="L146" s="188"/>
      <c r="M146" s="189"/>
      <c r="N146" s="189"/>
      <c r="O146" s="190"/>
      <c r="P146" s="190"/>
      <c r="Q146" s="190"/>
      <c r="R146" s="190"/>
      <c r="S146" s="190"/>
      <c r="T146" s="190"/>
      <c r="U146" s="190"/>
      <c r="V146" s="190"/>
      <c r="W146" s="190"/>
      <c r="X146" s="191"/>
      <c r="Y146" s="192"/>
      <c r="Z146" s="190"/>
    </row>
    <row r="147" spans="18:26" ht="15" hidden="1">
      <c r="R147" s="166"/>
      <c r="S147" s="166"/>
      <c r="T147" s="166"/>
      <c r="U147" s="166"/>
      <c r="V147" s="151"/>
      <c r="W147" s="151"/>
      <c r="X147" s="166"/>
      <c r="Y147" s="166"/>
      <c r="Z147" s="166"/>
    </row>
    <row r="148" spans="18:26" ht="15" hidden="1">
      <c r="R148" s="166"/>
      <c r="S148" s="166"/>
      <c r="T148" s="166"/>
      <c r="U148" s="166"/>
      <c r="V148" s="151"/>
      <c r="W148" s="151"/>
      <c r="X148" s="166"/>
      <c r="Y148" s="166"/>
      <c r="Z148" s="166"/>
    </row>
    <row r="149" spans="18:26" ht="15" hidden="1">
      <c r="R149" s="166"/>
      <c r="S149" s="166"/>
      <c r="T149" s="166"/>
      <c r="U149" s="166"/>
      <c r="V149" s="151"/>
      <c r="W149" s="151"/>
      <c r="X149" s="166"/>
      <c r="Y149" s="166"/>
      <c r="Z149" s="166"/>
    </row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</sheetData>
  <sheetProtection password="F5F3" sheet="1" selectLockedCells="1"/>
  <mergeCells count="9">
    <mergeCell ref="C5:D5"/>
    <mergeCell ref="C9:D9"/>
    <mergeCell ref="B14:F14"/>
    <mergeCell ref="B61:H61"/>
    <mergeCell ref="B27:H27"/>
    <mergeCell ref="G40:K40"/>
    <mergeCell ref="B34:B36"/>
    <mergeCell ref="B53:B55"/>
    <mergeCell ref="C43:E43"/>
  </mergeCells>
  <dataValidations count="3">
    <dataValidation type="list" allowBlank="1" showInputMessage="1" showErrorMessage="1" sqref="C5 T5">
      <formula1>$T$3:$T$25</formula1>
    </dataValidation>
    <dataValidation type="list" allowBlank="1" showInputMessage="1" showErrorMessage="1" sqref="C43">
      <formula1>$U$48:$U$50</formula1>
    </dataValidation>
    <dataValidation type="list" allowBlank="1" showInputMessage="1" showErrorMessage="1" sqref="C9:D9">
      <formula1>$T$37:$T$40</formula1>
    </dataValidation>
  </dataValidations>
  <printOptions horizontalCentered="1"/>
  <pageMargins left="0.2362204724409449" right="0.2362204724409449" top="0" bottom="0.7480314960629921" header="0.31496062992125984" footer="0.31496062992125984"/>
  <pageSetup horizontalDpi="600" verticalDpi="600" orientation="portrait" paperSize="9" scale="64" r:id="rId4"/>
  <colBreaks count="2" manualBreakCount="2">
    <brk id="11" max="65535" man="1"/>
    <brk id="18" max="26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Your User Name</cp:lastModifiedBy>
  <cp:lastPrinted>2011-05-24T13:07:02Z</cp:lastPrinted>
  <dcterms:created xsi:type="dcterms:W3CDTF">2011-05-10T14:16:56Z</dcterms:created>
  <dcterms:modified xsi:type="dcterms:W3CDTF">2011-06-03T09:24:04Z</dcterms:modified>
  <cp:category/>
  <cp:version/>
  <cp:contentType/>
  <cp:contentStatus/>
</cp:coreProperties>
</file>